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mkm.ee/dhs/webdav/03321efd2e4c8733e4174f94116e2a961cfcab26/47404015227/afa09ab6-1e8e-4464-8ad6-96aa245e3c17/"/>
    </mc:Choice>
  </mc:AlternateContent>
  <xr:revisionPtr revIDLastSave="0" documentId="13_ncr:1_{E6C1893D-F822-4306-BB8A-05EE7B7E7115}" xr6:coauthVersionLast="47" xr6:coauthVersionMax="47" xr10:uidLastSave="{00000000-0000-0000-0000-000000000000}"/>
  <bookViews>
    <workbookView xWindow="-103" yWindow="-103" windowWidth="16663" windowHeight="9772" xr2:uid="{911BB1A6-BF45-4C80-B217-662861EE6E42}"/>
  </bookViews>
  <sheets>
    <sheet name="Lisa 7 MKM_toetused" sheetId="1" r:id="rId1"/>
  </sheets>
  <definedNames>
    <definedName name="_xlnm._FilterDatabase" localSheetId="0" hidden="1">'Lisa 7 MKM_toetused'!$A$16:$U$67</definedName>
    <definedName name="_xlnm.Print_Area" localSheetId="0">'Lisa 7 MKM_toetused'!$A$1:$L$42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1" l="1"/>
  <c r="S23" i="1"/>
  <c r="U21" i="1"/>
  <c r="T67" i="1"/>
  <c r="V67" i="1"/>
  <c r="T64" i="1"/>
  <c r="U64" i="1"/>
  <c r="V64" i="1"/>
  <c r="T62" i="1"/>
  <c r="U62" i="1"/>
  <c r="V62" i="1"/>
  <c r="T59" i="1"/>
  <c r="U59" i="1"/>
  <c r="V59" i="1"/>
  <c r="T57" i="1"/>
  <c r="U57" i="1"/>
  <c r="V57" i="1"/>
  <c r="T53" i="1"/>
  <c r="U53" i="1"/>
  <c r="V53" i="1"/>
  <c r="T50" i="1"/>
  <c r="U50" i="1"/>
  <c r="V50" i="1"/>
  <c r="T47" i="1"/>
  <c r="U47" i="1"/>
  <c r="V47" i="1"/>
  <c r="T45" i="1"/>
  <c r="U45" i="1"/>
  <c r="V45" i="1"/>
  <c r="T42" i="1"/>
  <c r="U42" i="1"/>
  <c r="V42" i="1"/>
  <c r="T40" i="1"/>
  <c r="U40" i="1"/>
  <c r="V40" i="1"/>
  <c r="T38" i="1"/>
  <c r="U38" i="1"/>
  <c r="V38" i="1"/>
  <c r="T33" i="1"/>
  <c r="U33" i="1"/>
  <c r="V33" i="1"/>
  <c r="T20" i="1"/>
  <c r="U20" i="1"/>
  <c r="V20" i="1"/>
  <c r="T18" i="1"/>
  <c r="U18" i="1"/>
  <c r="V18" i="1"/>
  <c r="T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P9" i="1"/>
  <c r="Q9" i="1"/>
  <c r="R9" i="1"/>
  <c r="P53" i="1"/>
  <c r="Q53" i="1"/>
  <c r="R53" i="1"/>
  <c r="O52" i="1"/>
  <c r="S52" i="1" s="1"/>
  <c r="S9" i="1" s="1"/>
  <c r="R65" i="1"/>
  <c r="W52" i="1" l="1"/>
  <c r="W9" i="1" s="1"/>
  <c r="T16" i="1"/>
  <c r="O9" i="1"/>
  <c r="V16" i="1"/>
  <c r="T12" i="1"/>
  <c r="V12" i="1"/>
  <c r="P62" i="1"/>
  <c r="Q62" i="1"/>
  <c r="R62" i="1"/>
  <c r="O62" i="1"/>
  <c r="S61" i="1"/>
  <c r="W61" i="1" s="1"/>
  <c r="S60" i="1"/>
  <c r="S62" i="1" l="1"/>
  <c r="W60" i="1"/>
  <c r="W62" i="1" s="1"/>
  <c r="P65" i="1"/>
  <c r="P57" i="1" l="1"/>
  <c r="Q57" i="1"/>
  <c r="R57" i="1"/>
  <c r="O56" i="1"/>
  <c r="S56" i="1" s="1"/>
  <c r="W56" i="1" s="1"/>
  <c r="P50" i="1"/>
  <c r="Q50" i="1"/>
  <c r="R50" i="1"/>
  <c r="O49" i="1"/>
  <c r="S49" i="1" s="1"/>
  <c r="W49" i="1" s="1"/>
  <c r="P67" i="1" l="1"/>
  <c r="Q67" i="1"/>
  <c r="R67" i="1"/>
  <c r="P64" i="1"/>
  <c r="Q64" i="1"/>
  <c r="R64" i="1"/>
  <c r="P59" i="1"/>
  <c r="Q59" i="1"/>
  <c r="R59" i="1"/>
  <c r="P47" i="1"/>
  <c r="Q47" i="1"/>
  <c r="R47" i="1"/>
  <c r="P45" i="1"/>
  <c r="Q45" i="1"/>
  <c r="R45" i="1"/>
  <c r="P42" i="1"/>
  <c r="Q42" i="1"/>
  <c r="R42" i="1"/>
  <c r="P40" i="1"/>
  <c r="Q40" i="1"/>
  <c r="R40" i="1"/>
  <c r="P38" i="1"/>
  <c r="Q38" i="1"/>
  <c r="R38" i="1"/>
  <c r="P33" i="1"/>
  <c r="Q33" i="1"/>
  <c r="R33" i="1"/>
  <c r="P20" i="1"/>
  <c r="Q20" i="1"/>
  <c r="R20" i="1"/>
  <c r="P18" i="1"/>
  <c r="Q18" i="1"/>
  <c r="R18" i="1"/>
  <c r="P7" i="1"/>
  <c r="Q7" i="1"/>
  <c r="R7" i="1"/>
  <c r="P8" i="1"/>
  <c r="Q8" i="1"/>
  <c r="R8" i="1"/>
  <c r="P10" i="1"/>
  <c r="Q10" i="1"/>
  <c r="R10" i="1"/>
  <c r="P11" i="1"/>
  <c r="Q11" i="1"/>
  <c r="R11" i="1"/>
  <c r="O35" i="1"/>
  <c r="S35" i="1" s="1"/>
  <c r="W35" i="1" s="1"/>
  <c r="N21" i="1"/>
  <c r="P16" i="1" l="1"/>
  <c r="Q16" i="1"/>
  <c r="R16" i="1"/>
  <c r="Q12" i="1"/>
  <c r="R12" i="1"/>
  <c r="P12" i="1"/>
  <c r="O19" i="1"/>
  <c r="S19" i="1" s="1"/>
  <c r="W19" i="1" s="1"/>
  <c r="L17" i="1"/>
  <c r="W20" i="1" l="1"/>
  <c r="W10" i="1"/>
  <c r="S20" i="1"/>
  <c r="S10" i="1"/>
  <c r="M67" i="1"/>
  <c r="M64" i="1"/>
  <c r="N64" i="1"/>
  <c r="M59" i="1"/>
  <c r="N59" i="1"/>
  <c r="M57" i="1"/>
  <c r="M53" i="1"/>
  <c r="N53" i="1"/>
  <c r="M50" i="1"/>
  <c r="N50" i="1"/>
  <c r="M47" i="1"/>
  <c r="N47" i="1"/>
  <c r="M45" i="1"/>
  <c r="N45" i="1"/>
  <c r="M42" i="1"/>
  <c r="N42" i="1"/>
  <c r="M40" i="1"/>
  <c r="N40" i="1"/>
  <c r="M38" i="1"/>
  <c r="N38" i="1"/>
  <c r="M33" i="1"/>
  <c r="N33" i="1"/>
  <c r="M20" i="1"/>
  <c r="N20" i="1"/>
  <c r="O20" i="1"/>
  <c r="M18" i="1"/>
  <c r="N18" i="1"/>
  <c r="O22" i="1"/>
  <c r="S22" i="1" s="1"/>
  <c r="W22" i="1" s="1"/>
  <c r="O24" i="1"/>
  <c r="S24" i="1" s="1"/>
  <c r="W24" i="1" s="1"/>
  <c r="O27" i="1"/>
  <c r="S27" i="1" s="1"/>
  <c r="W27" i="1" s="1"/>
  <c r="O28" i="1"/>
  <c r="S28" i="1" s="1"/>
  <c r="W28" i="1" s="1"/>
  <c r="O29" i="1"/>
  <c r="S29" i="1" s="1"/>
  <c r="W29" i="1" s="1"/>
  <c r="O30" i="1"/>
  <c r="S30" i="1" s="1"/>
  <c r="W30" i="1" s="1"/>
  <c r="O32" i="1"/>
  <c r="S32" i="1" s="1"/>
  <c r="W32" i="1" s="1"/>
  <c r="O36" i="1"/>
  <c r="S36" i="1" s="1"/>
  <c r="W36" i="1" s="1"/>
  <c r="O37" i="1"/>
  <c r="S37" i="1" s="1"/>
  <c r="W37" i="1" s="1"/>
  <c r="O39" i="1"/>
  <c r="O41" i="1"/>
  <c r="O43" i="1"/>
  <c r="S43" i="1" s="1"/>
  <c r="W43" i="1" s="1"/>
  <c r="O44" i="1"/>
  <c r="S44" i="1" s="1"/>
  <c r="W44" i="1" s="1"/>
  <c r="O46" i="1"/>
  <c r="O48" i="1"/>
  <c r="O50" i="1" s="1"/>
  <c r="O51" i="1"/>
  <c r="O53" i="1" s="1"/>
  <c r="O54" i="1"/>
  <c r="O58" i="1"/>
  <c r="O66" i="1"/>
  <c r="O17" i="1"/>
  <c r="M7" i="1"/>
  <c r="M8" i="1"/>
  <c r="M10" i="1"/>
  <c r="M11" i="1"/>
  <c r="N65" i="1"/>
  <c r="N67" i="1" s="1"/>
  <c r="L59" i="1"/>
  <c r="N55" i="1"/>
  <c r="N57" i="1" s="1"/>
  <c r="L57" i="1"/>
  <c r="W45" i="1" l="1"/>
  <c r="S66" i="1"/>
  <c r="W66" i="1" s="1"/>
  <c r="U66" i="1"/>
  <c r="S54" i="1"/>
  <c r="W54" i="1" s="1"/>
  <c r="O59" i="1"/>
  <c r="S58" i="1"/>
  <c r="S51" i="1"/>
  <c r="S48" i="1"/>
  <c r="O47" i="1"/>
  <c r="S46" i="1"/>
  <c r="S45" i="1"/>
  <c r="O42" i="1"/>
  <c r="S41" i="1"/>
  <c r="O40" i="1"/>
  <c r="S39" i="1"/>
  <c r="O18" i="1"/>
  <c r="S17" i="1"/>
  <c r="W17" i="1" s="1"/>
  <c r="O45" i="1"/>
  <c r="O55" i="1"/>
  <c r="O57" i="1" s="1"/>
  <c r="N16" i="1"/>
  <c r="M16" i="1"/>
  <c r="M12" i="1"/>
  <c r="L53" i="1"/>
  <c r="L50" i="1"/>
  <c r="L47" i="1"/>
  <c r="W11" i="1" l="1"/>
  <c r="W18" i="1"/>
  <c r="S40" i="1"/>
  <c r="W39" i="1"/>
  <c r="W40" i="1" s="1"/>
  <c r="U67" i="1"/>
  <c r="U7" i="1"/>
  <c r="U12" i="1" s="1"/>
  <c r="U16" i="1"/>
  <c r="S53" i="1"/>
  <c r="W51" i="1"/>
  <c r="W53" i="1" s="1"/>
  <c r="S47" i="1"/>
  <c r="W46" i="1"/>
  <c r="W47" i="1" s="1"/>
  <c r="S50" i="1"/>
  <c r="W48" i="1"/>
  <c r="W50" i="1" s="1"/>
  <c r="S59" i="1"/>
  <c r="W58" i="1"/>
  <c r="W59" i="1" s="1"/>
  <c r="S42" i="1"/>
  <c r="W41" i="1"/>
  <c r="W42" i="1" s="1"/>
  <c r="S11" i="1"/>
  <c r="S18" i="1"/>
  <c r="S55" i="1"/>
  <c r="L34" i="1"/>
  <c r="O34" i="1" s="1"/>
  <c r="S57" i="1" l="1"/>
  <c r="W55" i="1"/>
  <c r="W57" i="1" s="1"/>
  <c r="O38" i="1"/>
  <c r="S34" i="1"/>
  <c r="L65" i="1"/>
  <c r="O65" i="1" s="1"/>
  <c r="L25" i="1"/>
  <c r="O25" i="1" s="1"/>
  <c r="S25" i="1" s="1"/>
  <c r="W25" i="1" s="1"/>
  <c r="L63" i="1"/>
  <c r="N11" i="1"/>
  <c r="L11" i="1"/>
  <c r="N10" i="1"/>
  <c r="L10" i="1"/>
  <c r="N8" i="1"/>
  <c r="N7" i="1"/>
  <c r="L45" i="1"/>
  <c r="L42" i="1"/>
  <c r="L40" i="1"/>
  <c r="L38" i="1"/>
  <c r="L26" i="1"/>
  <c r="O26" i="1" s="1"/>
  <c r="S26" i="1" s="1"/>
  <c r="W26" i="1" s="1"/>
  <c r="L21" i="1"/>
  <c r="O21" i="1" s="1"/>
  <c r="S21" i="1" s="1"/>
  <c r="W21" i="1" s="1"/>
  <c r="O11" i="1"/>
  <c r="L18" i="1"/>
  <c r="S38" i="1" l="1"/>
  <c r="W34" i="1"/>
  <c r="W38" i="1" s="1"/>
  <c r="S7" i="1"/>
  <c r="O67" i="1"/>
  <c r="S65" i="1"/>
  <c r="L64" i="1"/>
  <c r="O63" i="1"/>
  <c r="O10" i="1"/>
  <c r="N12" i="1"/>
  <c r="L20" i="1"/>
  <c r="S67" i="1" l="1"/>
  <c r="W65" i="1"/>
  <c r="O64" i="1"/>
  <c r="S63" i="1"/>
  <c r="L7" i="1"/>
  <c r="L67" i="1"/>
  <c r="L31" i="1"/>
  <c r="O31" i="1" s="1"/>
  <c r="S31" i="1" s="1"/>
  <c r="W31" i="1" s="1"/>
  <c r="W33" i="1" l="1"/>
  <c r="W8" i="1"/>
  <c r="S64" i="1"/>
  <c r="W63" i="1"/>
  <c r="W64" i="1" s="1"/>
  <c r="W67" i="1"/>
  <c r="W7" i="1"/>
  <c r="W12" i="1" s="1"/>
  <c r="S33" i="1"/>
  <c r="S16" i="1" s="1"/>
  <c r="S8" i="1"/>
  <c r="S12" i="1" s="1"/>
  <c r="O33" i="1"/>
  <c r="O16" i="1" s="1"/>
  <c r="O7" i="1"/>
  <c r="L8" i="1"/>
  <c r="L12" i="1" s="1"/>
  <c r="L33" i="1"/>
  <c r="L16" i="1" s="1"/>
  <c r="W16" i="1" l="1"/>
  <c r="O8" i="1"/>
  <c r="O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tc={C14FC31E-56CA-490B-AE73-D58D7B225394}</author>
    <author>tc={A83D78C8-E8BD-48F8-ABA4-F7333CA843F6}</author>
    <author>tc={8809F996-0D1D-4AD5-94BE-0A1EF67B3EF0}</author>
    <author>tc={3C7115C8-FD21-4832-814C-C7775516F49A}</author>
    <author>tc={DA6031F9-DA13-4337-A6ED-F894E3849EF5}</author>
    <author>tc={8E8EA239-C54B-42FA-8D5A-51DF6314D0B0}</author>
    <author>tc={B82D8DD1-2BBC-4172-B61D-88580BA5D7CD}</author>
    <author>tc={FE7380E4-324A-4FD4-A9FC-D37BCB373F77}</author>
    <author>tc={C1BD60EF-B1F4-4AAD-8501-290EE4A629EF}</author>
    <author>tc={0492C61B-135B-49ED-9472-D06973F6577C}</author>
    <author>tc={43018D24-DC47-473F-B6EF-B98622E574CE}</author>
  </authors>
  <commentList>
    <comment ref="U21" authorId="0" shapeId="0" xr:uid="{C14FC31E-56CA-490B-AE73-D58D7B225394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Grandi RE00-05411 vähendam +21,8 mln, grandi RE00-54101 vähendam 4,4 mln ja arendusvoi vähendam +1,5 mln</t>
      </text>
    </comment>
    <comment ref="U25" authorId="1" shapeId="0" xr:uid="{A83D78C8-E8BD-48F8-ABA4-F7333CA843F6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Grandi Turism vähendam +0,6 mln</t>
      </text>
    </comment>
    <comment ref="N28" authorId="2" shapeId="0" xr:uid="{8809F996-0D1D-4AD5-94BE-0A1EF67B3EF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80 tuh EISi VIKi grandilt MKMi tööjõukuludeks 57 tuh ja maj kuludeks 23 tuh</t>
      </text>
    </comment>
    <comment ref="U31" authorId="3" shapeId="0" xr:uid="{3C7115C8-FD21-4832-814C-C7775516F49A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e-res vähendam +2,4 mln</t>
      </text>
    </comment>
    <comment ref="A46" authorId="4" shapeId="0" xr:uid="{DA6031F9-DA13-4337-A6ED-F894E3849EF5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ESA</t>
      </text>
    </comment>
    <comment ref="K49" authorId="5" shapeId="0" xr:uid="{8E8EA239-C54B-42FA-8D5A-51DF6314D0B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GEM uuring</t>
      </text>
    </comment>
    <comment ref="V63" authorId="6" shapeId="0" xr:uid="{B82D8DD1-2BBC-4172-B61D-88580BA5D7CD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Tõstetud konkurentsivõime fondi nõuniku ametikoha kuludeks</t>
      </text>
    </comment>
    <comment ref="Q65" authorId="7" shapeId="0" xr:uid="{FE7380E4-324A-4FD4-A9FC-D37BCB373F77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KaMilt</t>
      </text>
    </comment>
    <comment ref="R65" authorId="8" shapeId="0" xr:uid="{C1BD60EF-B1F4-4AAD-8501-290EE4A629EF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ETAGile 2 tuh + Taltecile 89,6 tuh</t>
      </text>
    </comment>
    <comment ref="V65" authorId="9" shapeId="0" xr:uid="{0492C61B-135B-49ED-9472-D06973F6577C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Suunatud EISile TAI toetusskeemide kuludeks</t>
      </text>
    </comment>
    <comment ref="V66" authorId="10" shapeId="0" xr:uid="{43018D24-DC47-473F-B6EF-B98622E574CE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Suunatud EISile TAI toetusskeemide kuludeks</t>
      </text>
    </comment>
  </commentList>
</comments>
</file>

<file path=xl/sharedStrings.xml><?xml version="1.0" encoding="utf-8"?>
<sst xmlns="http://schemas.openxmlformats.org/spreadsheetml/2006/main" count="371" uniqueCount="172">
  <si>
    <t>Lisa 7</t>
  </si>
  <si>
    <t>Majandus- ja Kommunikatsiooniministeeriumi kindlaksmääratud vahendite kulude eelarvest antavad sihtotstabelised ja tegevustoetused</t>
  </si>
  <si>
    <t>Teadmussiirde programm</t>
  </si>
  <si>
    <t>Ettevõtluskeskkonna programm</t>
  </si>
  <si>
    <t>Tööturuprogramm</t>
  </si>
  <si>
    <t>Soolise võrdsuse ja võrdse kohtlemise programm</t>
  </si>
  <si>
    <t>Kulud toetustele kokku</t>
  </si>
  <si>
    <t>Toetuse saaja/eesmärk</t>
  </si>
  <si>
    <t>Programmi tegevus - kood</t>
  </si>
  <si>
    <t>Programmi tegevus - nimi</t>
  </si>
  <si>
    <t>Teenus</t>
  </si>
  <si>
    <t>Teenus - nimi</t>
  </si>
  <si>
    <t>Eelarve liik</t>
  </si>
  <si>
    <t>Eelarve objekt</t>
  </si>
  <si>
    <t>Objekti nimi</t>
  </si>
  <si>
    <t>Majanduslik sisu</t>
  </si>
  <si>
    <t>Stsenaarium asutuse kulumudelis</t>
  </si>
  <si>
    <t>EELARVE</t>
  </si>
  <si>
    <t/>
  </si>
  <si>
    <t>Periood asutuse kulumudelis</t>
  </si>
  <si>
    <t>AS Eesti Varude Keskus</t>
  </si>
  <si>
    <t>ATN10-VARUD</t>
  </si>
  <si>
    <t>TIEK010311</t>
  </si>
  <si>
    <t>Riigi tegevusvarude moodustamine, haldamine ning kasutuselevõtmise korraldamine</t>
  </si>
  <si>
    <t>20</t>
  </si>
  <si>
    <t>Antud tegevustoetused</t>
  </si>
  <si>
    <t>AS Eesti Varude Keskus kokku</t>
  </si>
  <si>
    <t>TI020101</t>
  </si>
  <si>
    <t>N10-TEADUSARENDUS</t>
  </si>
  <si>
    <t>TI020102</t>
  </si>
  <si>
    <t>Teadus- ja tehnoloogiamahuka iduettevõtluse arendamine</t>
  </si>
  <si>
    <t>Toetused teadus- ja arendustegevuseks kokku</t>
  </si>
  <si>
    <t>Ettevõtluse ja Innovatsiooni SA</t>
  </si>
  <si>
    <t>8N10-RE00-HALDUS</t>
  </si>
  <si>
    <t>Antud tegevustoetused - halduskulu</t>
  </si>
  <si>
    <t>TIEK0102</t>
  </si>
  <si>
    <t>SE000060</t>
  </si>
  <si>
    <t>RRF - tehniline abi</t>
  </si>
  <si>
    <t>8N10-RE00-05211</t>
  </si>
  <si>
    <t>TIEK0103</t>
  </si>
  <si>
    <t>Tehnoloogia- ja arendusmahukate investeeringute soodustamine</t>
  </si>
  <si>
    <t>IN005001</t>
  </si>
  <si>
    <t>Suurinvestori investeeringutoetus</t>
  </si>
  <si>
    <t>8N10-RE00-VALISINVES</t>
  </si>
  <si>
    <t>8N10-RE00-ERESIDENT, 8N10-RE00-WORKINEST</t>
  </si>
  <si>
    <t>Ettevõtluse ja Innovatsiooni SA kokku</t>
  </si>
  <si>
    <t>AS Metrosert </t>
  </si>
  <si>
    <t>ATN10-METROS</t>
  </si>
  <si>
    <t>AS Metrosert kokku</t>
  </si>
  <si>
    <t>Eesti Standardimis- ja Akrediteerimiskeskus MTÜ</t>
  </si>
  <si>
    <t>ATN10-STANDA</t>
  </si>
  <si>
    <t>Eesti Standardimis- ja Akrediteerimiskeskus MTÜ kokku</t>
  </si>
  <si>
    <t>Tartu linn</t>
  </si>
  <si>
    <t>ATN10-TARTU</t>
  </si>
  <si>
    <t>Tartu linn kokku</t>
  </si>
  <si>
    <t>HE010102</t>
  </si>
  <si>
    <t>Eesti Töötukassa kokku</t>
  </si>
  <si>
    <t>8N10-RE00-03111, wbs:1N10-HMN-SOO</t>
  </si>
  <si>
    <t>ATN10-TOOTUK</t>
  </si>
  <si>
    <t>HE01010201</t>
  </si>
  <si>
    <t>Eesti Töötukassale aktiivsete ja passiivsete tööturumeetmete osutamiseks vahendite andmine</t>
  </si>
  <si>
    <t>Tööhõive toetamine ja areng</t>
  </si>
  <si>
    <t>Konto</t>
  </si>
  <si>
    <t>4500</t>
  </si>
  <si>
    <t>HE090301</t>
  </si>
  <si>
    <t>Soolise võrdsuse ja vähemuste võrdsete võimaluste edendamine</t>
  </si>
  <si>
    <t>HE04010101</t>
  </si>
  <si>
    <t>Soolise võrdsuse valdkonna poliitika kujundamine, koordineerimine ja rakendamine</t>
  </si>
  <si>
    <t>45</t>
  </si>
  <si>
    <t>TIEK0105</t>
  </si>
  <si>
    <t>Ettevõtluskeskkonna ja ettevõtlikkuse edendamine</t>
  </si>
  <si>
    <t>4521</t>
  </si>
  <si>
    <t>Ettevõtete arendustegevuse ja innovatsiooni toetamine</t>
  </si>
  <si>
    <t>TI02010102</t>
  </si>
  <si>
    <t>Ettevõtete TAI teadlikkuse ja arendustegevuse toetamine</t>
  </si>
  <si>
    <t>TIEK010201</t>
  </si>
  <si>
    <t>Targa ettevõtlus- ja tarbimiskeskkonna kujundamine</t>
  </si>
  <si>
    <t>ATN10-METROS, N10-TA-RAKENDUSUURIN</t>
  </si>
  <si>
    <t>Ettevõtete konkurentsivõime ja rahvusvahelistumise toetamine</t>
  </si>
  <si>
    <t>TIEK040101</t>
  </si>
  <si>
    <t>Turismisektorit edendav poliitikakujundus</t>
  </si>
  <si>
    <t>TIEK040102</t>
  </si>
  <si>
    <t>Turismisektori edendamise toetamine</t>
  </si>
  <si>
    <t>TIEK020102</t>
  </si>
  <si>
    <t>Ettevõtete ekspordi toetamine</t>
  </si>
  <si>
    <t>TIEK030102</t>
  </si>
  <si>
    <t>Kapitali kättesaadavuse soodustamise ja välisinvesteeringute kaasamise toetamine</t>
  </si>
  <si>
    <t>4502</t>
  </si>
  <si>
    <t>TIEK010302</t>
  </si>
  <si>
    <t>Kvalifitseeritud tööjõu kättesaadavuse ja rahvusvaheliste ettevõtete Eestisse asumise soodustamine</t>
  </si>
  <si>
    <t>TIEK020202</t>
  </si>
  <si>
    <t>Tööstussektori edendamise toetamine</t>
  </si>
  <si>
    <t>8N10-RE00-RRFKM-EAS</t>
  </si>
  <si>
    <t>TI02040102</t>
  </si>
  <si>
    <t>TA-mahuka iduettevõtluse ökosüsteemi arendamine ja investeerimislahenduste rakendamine</t>
  </si>
  <si>
    <t>N10-TEADUSARENDUS, N10-TEADUSARENDUS_2, N10-TEADUSARENDUS_3, N10-TA-KYBER, NONE</t>
  </si>
  <si>
    <t>2025. aasta riigieelarve seadus (vastu võetud 11.12.2024)</t>
  </si>
  <si>
    <t>Eesti Töötukassa</t>
  </si>
  <si>
    <t>Eraldis tööturuteenuste ja -toetuste sihtkapitali</t>
  </si>
  <si>
    <t>Muud toetused (toetuse saajad selguvad eelarveaasta jooksul taotlusvoorude teel)</t>
  </si>
  <si>
    <t>Toetused soolise võrdsuse ja vähemuste võrdsete võimaluste edendamiseks kokku</t>
  </si>
  <si>
    <t>Antud tegevuskulude sihtfinantseerimine</t>
  </si>
  <si>
    <t>Antud põhivara sihtfinantseerimine</t>
  </si>
  <si>
    <t>Antud tegevuskulude sihtfin - abikõlbmatu RRFi KM</t>
  </si>
  <si>
    <t>Sisemised muudatused</t>
  </si>
  <si>
    <t>Lõplik eelarve 2025</t>
  </si>
  <si>
    <t>MINISTRI_ LIIGENDUS</t>
  </si>
  <si>
    <t>2025_01</t>
  </si>
  <si>
    <t>8N10-RE00-TURISM, 8N10-RE00-TURISMSF, N10-TURISM, 8N10-RE00-UUSTURG</t>
  </si>
  <si>
    <t>Toetused ettevõtete konkurentsivõime tõstmiseks ja rahvusvahelistumiseks kokku</t>
  </si>
  <si>
    <t>Antud tegevuskulude sihtfin - riiklikud programmid (sh turismi tegevused ja sisenemine uutele turgudele)</t>
  </si>
  <si>
    <t>Antud tegevuskulude sihtfin - riiklikud programmid (VIK)</t>
  </si>
  <si>
    <t>Antud tegevuskulude sihtfin - riiklikud programmid (sh e-residentsus ja Work-in-Estonia)</t>
  </si>
  <si>
    <t>Antud tegevustoetused (metroloogia keskasutuse ning riigietalonide säilitamis- ja arendusteenuse ning nimemärgiste riikliku registri volitatud töötleja ülesannete täitmine)</t>
  </si>
  <si>
    <t>Antud tegevustoetused (teadus- ja arendustegevus - rakendusuuringud)</t>
  </si>
  <si>
    <t>Antud tegevustoetused (teadus- ja arendustegevus - kvanttehnoloogiate instituut)</t>
  </si>
  <si>
    <t>Antud tegevuskulude sihtfinantseerimine (toetuse saajad selguvad eelarveaasta jooksul)</t>
  </si>
  <si>
    <t>Euroopa Kosmose Agentuur</t>
  </si>
  <si>
    <t>N10-TA-ESA-CERN</t>
  </si>
  <si>
    <t>Euroopa Kosmose Agentuur kokku</t>
  </si>
  <si>
    <t>Antud tegevuskulude sihtfinantseerimine - ESA valikprogrammides osalemine</t>
  </si>
  <si>
    <t>Tallinna Tehnikaülikool</t>
  </si>
  <si>
    <t>Tallinna Tehnikaülikool kokku</t>
  </si>
  <si>
    <t>ATN10-TALTEC, N10-TA-E-DIH</t>
  </si>
  <si>
    <t>Antud tegevuskulude sihtfinantseerimine - e-DIH rahastamine AI ja robootikaga seotud uurimis- ja arendustegevuseks</t>
  </si>
  <si>
    <t>Tartu Ülikool</t>
  </si>
  <si>
    <t>Tartu Ülikool kokku</t>
  </si>
  <si>
    <t>ATN10-TY, N10-TA-TEADUSMAH.IDU</t>
  </si>
  <si>
    <t>Antud tegevuskulude sihtfinantseerimine - teadus- ja tehnoloogiamahukate idude kiirendid ja teised tegevused</t>
  </si>
  <si>
    <t>SA Tallinna Teaduspark Tehnopol</t>
  </si>
  <si>
    <t>N10-TA-TEHISINTELLEK, ATN10-TEHNOP</t>
  </si>
  <si>
    <t>N10-TA-TEADUSMAH.IDU, ATN10-TEHNOP</t>
  </si>
  <si>
    <t>SA Tallinna Teaduspark Tehnopol kokku</t>
  </si>
  <si>
    <t>Antud tegevuskulude sihtfinantseerimine - erasektori tehisintellekti pilootprojektid</t>
  </si>
  <si>
    <t>Sihtasutus Tartu Teaduspark</t>
  </si>
  <si>
    <t>Sihtasutus Tartu Teaduspark kokku</t>
  </si>
  <si>
    <t>Antud tegevuskulude sihtfin - riiklikud programmid (arendusvõimekus jm teadus- ja arendustegevuse ja innovatsiooni toetusmeetmed)</t>
  </si>
  <si>
    <t>8N10-RE00-ARENDUSVOI ja kõik TAI toetusmeetmete grandid</t>
  </si>
  <si>
    <t>MKMi 22.01.2025 kk nr 9</t>
  </si>
  <si>
    <t>EELARVE_ ULE</t>
  </si>
  <si>
    <t>IN005000</t>
  </si>
  <si>
    <t>Muud investeeringud</t>
  </si>
  <si>
    <t>Antud põhivara sihtfinantseerimine (teadus- ja arendustegevus - rakendusuuringute keskuse käivitamine)</t>
  </si>
  <si>
    <t xml:space="preserve">MKMi 29.01.2025 kk-ga nr 10 kinnitatud eelarve </t>
  </si>
  <si>
    <t>MKMi 02.06.2025 kk nr 65</t>
  </si>
  <si>
    <t>2025. aasta lisaeelarve seadus 18.06.2025</t>
  </si>
  <si>
    <t>LISA-EELARVE</t>
  </si>
  <si>
    <t>2025_05</t>
  </si>
  <si>
    <t>2025_08, 2025_09</t>
  </si>
  <si>
    <t>2025_06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</si>
  <si>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2025. a eelarvete kinnitamine" juurde (muudetud sõnastuses)</t>
  </si>
  <si>
    <t>TI02010103</t>
  </si>
  <si>
    <t>Antud tegevuskulude sihtfinantseerimine - fookusvaldkondade juhtimine/ pilootmissioonide käivitamine</t>
  </si>
  <si>
    <t>Antud tegevuskulude sihtfinantseerimine - Accelerate Estonia programm</t>
  </si>
  <si>
    <t>Sihtasutus Eesti Teadusagentuur</t>
  </si>
  <si>
    <t>N10-TA-FOOKUS, ATN10-ETAG</t>
  </si>
  <si>
    <t>TI02010101</t>
  </si>
  <si>
    <t>Ettevõtete TAI teadlikkuse ja arendustegevuse toetamise soodustamine</t>
  </si>
  <si>
    <t>Sihtasutus Eesti Teadusagentuur kokku</t>
  </si>
  <si>
    <t>Antud sihtfinantseerimine - MKMi teadus- ja 
arendustegevuse taotlusvoor</t>
  </si>
  <si>
    <t>ELMR0101</t>
  </si>
  <si>
    <t>Ruumilise planeerimise poliitika kujundamine ja korraldamine</t>
  </si>
  <si>
    <t>Antud tegevuskulude sihtfinantseerimine - planeerimiskonverentsi korraldamine</t>
  </si>
  <si>
    <t>Maa ja ruumiloome programm</t>
  </si>
  <si>
    <t>Antud tegevuskulude sihtfinantseerimine - Õpilaste Teadusfestivali eripreemiaga seotud kulud</t>
  </si>
  <si>
    <t xml:space="preserve">MKMi 30.06.2025 kk-ga nr 78 kinnitatud eelarve </t>
  </si>
  <si>
    <t>MKMi 20.10.2025 kk nr 107</t>
  </si>
  <si>
    <t>2025_01, 2025_06</t>
  </si>
  <si>
    <t>2025_11</t>
  </si>
  <si>
    <t xml:space="preserve">Toetused majandus- ja tööstusministri 27.03.2025 määruse nr 6 „Võrdsete võimaluste ja soolise võrdsuse edendamise 
toetus“ alusel </t>
  </si>
  <si>
    <t>2025_10</t>
  </si>
  <si>
    <t>2025. aasta teise lisaeelarve seadus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</si>
</sst>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Arial"/>
      <family val="2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0"/>
      <color rgb="FF333333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Calibri"/>
      <family val="2"/>
      <scheme val="minor"/>
    </font>
    <font>
      <sz val="9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b/>
      <sz val="11"/>
      <color indexed="8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i/>
      <sz val="10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24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3" fontId="6" fillId="0" borderId="0" xfId="1" applyNumberFormat="1" applyFont="1" applyAlignment="1">
      <alignment horizontal="right" wrapText="1"/>
    </xf>
    <xf numFmtId="3" fontId="6" fillId="0" borderId="0" xfId="1" applyNumberFormat="1" applyFont="1" applyAlignment="1" applyProtection="1">
      <alignment horizontal="right"/>
      <protection hidden="1"/>
    </xf>
    <xf numFmtId="0" fontId="0" fillId="0" borderId="0" xfId="0" applyAlignment="1">
      <alignment wrapText="1"/>
    </xf>
    <xf numFmtId="3" fontId="7" fillId="0" borderId="0" xfId="1" applyNumberFormat="1" applyFont="1" applyAlignment="1">
      <alignment horizontal="right" wrapText="1"/>
    </xf>
    <xf numFmtId="3" fontId="7" fillId="0" borderId="0" xfId="1" applyNumberFormat="1" applyFont="1" applyAlignment="1">
      <alignment wrapText="1"/>
    </xf>
    <xf numFmtId="0" fontId="16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3" fontId="10" fillId="0" borderId="1" xfId="2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0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6" fillId="0" borderId="0" xfId="1" applyNumberFormat="1" applyFont="1" applyAlignment="1">
      <alignment horizontal="right"/>
    </xf>
    <xf numFmtId="0" fontId="2" fillId="0" borderId="6" xfId="0" applyFont="1" applyBorder="1" applyAlignment="1">
      <alignment vertical="center" wrapText="1"/>
    </xf>
    <xf numFmtId="3" fontId="6" fillId="0" borderId="0" xfId="1" applyNumberFormat="1" applyFont="1" applyAlignment="1">
      <alignment horizontal="right" vertical="center" wrapText="1"/>
    </xf>
    <xf numFmtId="3" fontId="6" fillId="0" borderId="0" xfId="1" applyNumberFormat="1" applyFont="1" applyAlignment="1" applyProtection="1">
      <alignment horizontal="right" vertical="center"/>
      <protection hidden="1"/>
    </xf>
    <xf numFmtId="0" fontId="21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quotePrefix="1" applyFont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quotePrefix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3" fontId="2" fillId="0" borderId="0" xfId="0" applyNumberFormat="1" applyFont="1"/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0" fillId="0" borderId="0" xfId="0" applyNumberFormat="1"/>
    <xf numFmtId="0" fontId="1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vertical="center" wrapText="1"/>
    </xf>
    <xf numFmtId="0" fontId="23" fillId="4" borderId="4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2" borderId="1" xfId="0" applyFont="1" applyFill="1" applyBorder="1"/>
    <xf numFmtId="0" fontId="14" fillId="0" borderId="1" xfId="0" applyFont="1" applyBorder="1" applyAlignment="1">
      <alignment horizontal="center" vertical="center"/>
    </xf>
    <xf numFmtId="49" fontId="14" fillId="0" borderId="0" xfId="0" applyNumberFormat="1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3" fillId="4" borderId="2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right"/>
    </xf>
    <xf numFmtId="0" fontId="11" fillId="2" borderId="1" xfId="0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6" fillId="0" borderId="0" xfId="1" applyNumberFormat="1" applyFont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</cellXfs>
  <cellStyles count="4">
    <cellStyle name="Normaallaad" xfId="0" builtinId="0"/>
    <cellStyle name="Normaallaad 10" xfId="3" xr:uid="{CEB358A1-7EE1-45AD-802D-CC9EBFCFAAF9}"/>
    <cellStyle name="Normaallaad 2" xfId="1" xr:uid="{68529AA7-28B5-44F1-A5C6-F2AD667E0CEB}"/>
    <cellStyle name="Normaallaad 4" xfId="2" xr:uid="{5104368E-7262-4C13-9D11-921B34151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a Fazijev" id="{30C4F1B8-61F1-49BB-8AA1-6966FC2F9635}" userId="S-1-5-21-2009196460-3307222142-1538888278-12158" providerId="AD"/>
  <person displayName="Helena Siemann - MKM" id="{9ACAEDCB-6406-4653-AEB9-C8DEC1FEDD30}" userId="S::Helena.Siemann@mkm.ee::bfb8c127-faf0-4904-8e5a-85d9b418a8d8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21" dT="2025-11-17T12:05:51.72" personId="{9ACAEDCB-6406-4653-AEB9-C8DEC1FEDD30}" id="{C14FC31E-56CA-490B-AE73-D58D7B225394}">
    <text>Grandi RE00-05411 vähendam +21,8 mln, grandi RE00-54101 vähendam 4,4 mln ja arendusvoi vähendam +1,5 mln</text>
  </threadedComment>
  <threadedComment ref="U25" dT="2025-11-17T12:06:17.97" personId="{9ACAEDCB-6406-4653-AEB9-C8DEC1FEDD30}" id="{A83D78C8-E8BD-48F8-ABA4-F7333CA843F6}">
    <text>Grandi Turism vähendam +0,6 mln</text>
  </threadedComment>
  <threadedComment ref="N28" dT="2025-01-20T09:19:54.74" personId="{9ACAEDCB-6406-4653-AEB9-C8DEC1FEDD30}" id="{8809F996-0D1D-4AD5-94BE-0A1EF67B3EF0}">
    <text>80 tuh EISi VIKi grandilt MKMi tööjõukuludeks 57 tuh ja maj kuludeks 23 tuh</text>
  </threadedComment>
  <threadedComment ref="U31" dT="2025-11-17T12:06:43.60" personId="{9ACAEDCB-6406-4653-AEB9-C8DEC1FEDD30}" id="{3C7115C8-FD21-4832-814C-C7775516F49A}">
    <text>e-res vähendam +2,4 mln</text>
  </threadedComment>
  <threadedComment ref="A46" dT="2024-02-02T09:28:20.72" personId="{30C4F1B8-61F1-49BB-8AA1-6966FC2F9635}" id="{DA6031F9-DA13-4337-A6ED-F894E3849EF5}">
    <text>ESA</text>
  </threadedComment>
  <threadedComment ref="K49" dT="2025-06-19T14:25:40.81" personId="{9ACAEDCB-6406-4653-AEB9-C8DEC1FEDD30}" id="{8E8EA239-C54B-42FA-8D5A-51DF6314D0B0}">
    <text>GEM uuring</text>
  </threadedComment>
  <threadedComment ref="V63" dT="2025-11-17T12:15:36.68" personId="{9ACAEDCB-6406-4653-AEB9-C8DEC1FEDD30}" id="{B82D8DD1-2BBC-4172-B61D-88580BA5D7CD}">
    <text>Tõstetud konkurentsivõime fondi nõuniku ametikoha kuludeks</text>
  </threadedComment>
  <threadedComment ref="Q65" dT="2025-06-20T07:33:53.65" personId="{9ACAEDCB-6406-4653-AEB9-C8DEC1FEDD30}" id="{FE7380E4-324A-4FD4-A9FC-D37BCB373F77}">
    <text>KaMilt</text>
  </threadedComment>
  <threadedComment ref="R65" dT="2025-06-20T07:34:15.76" personId="{9ACAEDCB-6406-4653-AEB9-C8DEC1FEDD30}" id="{C1BD60EF-B1F4-4AAD-8501-290EE4A629EF}">
    <text>ETAGile 2 tuh + Taltecile 89,6 tuh</text>
  </threadedComment>
  <threadedComment ref="V65" dT="2025-11-17T12:13:57.29" personId="{9ACAEDCB-6406-4653-AEB9-C8DEC1FEDD30}" id="{0492C61B-135B-49ED-9472-D06973F6577C}">
    <text>Suunatud EISile TAI toetusskeemide kuludeks</text>
  </threadedComment>
  <threadedComment ref="V66" dT="2025-11-26T15:42:55.03" personId="{9ACAEDCB-6406-4653-AEB9-C8DEC1FEDD30}" id="{43018D24-DC47-473F-B6EF-B98622E574CE}">
    <text>Suunatud EISile TAI toetusskeemide kuludeks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C644-7FEA-4119-BB74-5BC0BECC31FA}">
  <sheetPr>
    <pageSetUpPr fitToPage="1"/>
  </sheetPr>
  <dimension ref="A1:W70"/>
  <sheetViews>
    <sheetView tabSelected="1" topLeftCell="D31" zoomScale="90" zoomScaleNormal="90" workbookViewId="0">
      <selection activeCell="K37" sqref="K37"/>
    </sheetView>
  </sheetViews>
  <sheetFormatPr defaultRowHeight="14.6" outlineLevelCol="2" x14ac:dyDescent="0.4"/>
  <cols>
    <col min="1" max="1" width="25.84375" customWidth="1"/>
    <col min="2" max="2" width="26.3828125" style="32" hidden="1" customWidth="1" outlineLevel="1"/>
    <col min="3" max="3" width="10.3828125" customWidth="1" collapsed="1"/>
    <col min="4" max="4" width="24.3046875" style="6" customWidth="1"/>
    <col min="5" max="5" width="12" style="6" hidden="1" customWidth="1" outlineLevel="1"/>
    <col min="6" max="6" width="25.3828125" style="6" hidden="1" customWidth="1" outlineLevel="1"/>
    <col min="7" max="7" width="9.69140625" bestFit="1" customWidth="1" collapsed="1"/>
    <col min="8" max="8" width="9.3828125" customWidth="1"/>
    <col min="9" max="9" width="18" style="6" customWidth="1"/>
    <col min="10" max="10" width="7.84375" customWidth="1"/>
    <col min="11" max="11" width="33.23046875" customWidth="1"/>
    <col min="12" max="12" width="13.69140625" hidden="1" customWidth="1" outlineLevel="2"/>
    <col min="13" max="13" width="10.84375" hidden="1" customWidth="1" outlineLevel="2"/>
    <col min="14" max="14" width="12.3046875" style="80" hidden="1" customWidth="1" outlineLevel="2"/>
    <col min="15" max="15" width="12.3046875" hidden="1" customWidth="1" outlineLevel="1" collapsed="1"/>
    <col min="16" max="16" width="10.69140625" hidden="1" customWidth="1" outlineLevel="1"/>
    <col min="17" max="18" width="10.23046875" hidden="1" customWidth="1" outlineLevel="1"/>
    <col min="19" max="19" width="12.07421875" customWidth="1" collapsed="1"/>
    <col min="20" max="20" width="10.07421875" customWidth="1"/>
    <col min="21" max="21" width="10.921875" customWidth="1"/>
    <col min="22" max="22" width="11.69140625" customWidth="1"/>
    <col min="23" max="23" width="12.15234375" customWidth="1"/>
  </cols>
  <sheetData>
    <row r="1" spans="1:23" s="1" customFormat="1" ht="12.9" x14ac:dyDescent="0.35">
      <c r="B1" s="32"/>
      <c r="D1" s="2"/>
      <c r="E1" s="2"/>
      <c r="F1" s="2"/>
      <c r="I1" s="2"/>
      <c r="N1" s="74"/>
      <c r="W1" s="3" t="s">
        <v>0</v>
      </c>
    </row>
    <row r="2" spans="1:23" s="22" customFormat="1" ht="30.45" customHeight="1" x14ac:dyDescent="0.4">
      <c r="B2" s="50"/>
      <c r="D2" s="52"/>
      <c r="E2" s="52"/>
      <c r="F2" s="52"/>
      <c r="J2" s="70"/>
      <c r="K2" s="122" t="s">
        <v>150</v>
      </c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spans="1:23" s="22" customFormat="1" ht="16.5" customHeight="1" x14ac:dyDescent="0.4">
      <c r="B3" s="50"/>
      <c r="D3" s="52"/>
      <c r="E3" s="52"/>
      <c r="F3" s="52"/>
      <c r="I3" s="70"/>
      <c r="J3" s="70"/>
      <c r="K3" s="19"/>
      <c r="L3" s="19"/>
      <c r="M3" s="19"/>
      <c r="N3" s="19"/>
      <c r="O3" s="19"/>
    </row>
    <row r="4" spans="1:23" s="1" customFormat="1" ht="12.9" x14ac:dyDescent="0.35">
      <c r="B4" s="32"/>
      <c r="D4" s="2"/>
      <c r="E4" s="2"/>
      <c r="F4" s="2"/>
      <c r="I4" s="2"/>
      <c r="N4" s="74"/>
    </row>
    <row r="5" spans="1:23" s="22" customFormat="1" ht="12.9" x14ac:dyDescent="0.4">
      <c r="A5" s="116" t="s">
        <v>1</v>
      </c>
      <c r="B5" s="117"/>
      <c r="C5" s="117"/>
      <c r="D5" s="117"/>
      <c r="E5" s="117"/>
      <c r="F5" s="117"/>
      <c r="G5" s="117"/>
      <c r="I5" s="52"/>
      <c r="N5" s="75"/>
    </row>
    <row r="6" spans="1:23" s="19" customFormat="1" ht="14.25" customHeight="1" x14ac:dyDescent="0.4">
      <c r="A6" s="117"/>
      <c r="B6" s="117"/>
      <c r="C6" s="117"/>
      <c r="D6" s="117"/>
      <c r="E6" s="117"/>
      <c r="F6" s="117"/>
      <c r="G6" s="117"/>
      <c r="I6" s="51"/>
      <c r="K6" s="41"/>
      <c r="L6" s="42"/>
      <c r="M6" s="42"/>
      <c r="N6" s="76"/>
    </row>
    <row r="7" spans="1:23" x14ac:dyDescent="0.4">
      <c r="K7" s="4" t="s">
        <v>2</v>
      </c>
      <c r="L7" s="5">
        <f>SUMIF($C$17:$C$67,"TI02*",L$17:L$67)</f>
        <v>-63107685.749864005</v>
      </c>
      <c r="M7" s="5">
        <f>SUMIF($C$17:$C$67,"TI02*",M$17:M$67)</f>
        <v>0</v>
      </c>
      <c r="N7" s="5">
        <f>SUMIF($C$17:$C$67,"TI02*",N$17:N$67)</f>
        <v>0</v>
      </c>
      <c r="O7" s="5">
        <f>SUMIF($C$17:$C$67,"TI02*",O$17:O$67)</f>
        <v>-63107685.749864005</v>
      </c>
      <c r="P7" s="5">
        <f t="shared" ref="P7:W7" si="0">SUMIF($C$17:$C$67,"TI02*",P$17:P$67)</f>
        <v>-32362437.92797764</v>
      </c>
      <c r="Q7" s="5">
        <f t="shared" si="0"/>
        <v>-150000</v>
      </c>
      <c r="R7" s="5">
        <f t="shared" si="0"/>
        <v>0</v>
      </c>
      <c r="S7" s="5">
        <f t="shared" si="0"/>
        <v>-95620123.677841648</v>
      </c>
      <c r="T7" s="5">
        <f t="shared" si="0"/>
        <v>0</v>
      </c>
      <c r="U7" s="5">
        <f t="shared" si="0"/>
        <v>31030000.449988</v>
      </c>
      <c r="V7" s="5">
        <f t="shared" si="0"/>
        <v>-3.7252902984619141E-9</v>
      </c>
      <c r="W7" s="5">
        <f t="shared" si="0"/>
        <v>-64590123.227853648</v>
      </c>
    </row>
    <row r="8" spans="1:23" x14ac:dyDescent="0.4">
      <c r="D8" s="1"/>
      <c r="E8" s="1"/>
      <c r="F8" s="2"/>
      <c r="K8" s="4" t="s">
        <v>3</v>
      </c>
      <c r="L8" s="5">
        <f>SUMIF($C$17:$C$67,"TIEK*",L$17:L$67)</f>
        <v>-40805024.79959999</v>
      </c>
      <c r="M8" s="5">
        <f>SUMIF($C$17:$C$67,"TIEK*",M$17:M$67)</f>
        <v>-1500000</v>
      </c>
      <c r="N8" s="5">
        <f>SUMIF($C$17:$C$67,"TIEK*",N$17:N$67)</f>
        <v>80000</v>
      </c>
      <c r="O8" s="5">
        <f>SUMIF($C$17:$C$67,"TIEK*",O$17:O$67)</f>
        <v>-42225024.799600005</v>
      </c>
      <c r="P8" s="5">
        <f t="shared" ref="P8:W8" si="1">SUMIF($C$17:$C$67,"TIEK*",P$17:P$67)</f>
        <v>-8594225.8508194685</v>
      </c>
      <c r="Q8" s="5">
        <f t="shared" si="1"/>
        <v>0</v>
      </c>
      <c r="R8" s="5">
        <f t="shared" si="1"/>
        <v>0</v>
      </c>
      <c r="S8" s="5">
        <f t="shared" si="1"/>
        <v>-50819250.650419474</v>
      </c>
      <c r="T8" s="5">
        <f t="shared" si="1"/>
        <v>800000</v>
      </c>
      <c r="U8" s="5">
        <f t="shared" si="1"/>
        <v>4400000</v>
      </c>
      <c r="V8" s="5">
        <f t="shared" si="1"/>
        <v>100000</v>
      </c>
      <c r="W8" s="5">
        <f t="shared" si="1"/>
        <v>-45519250.650419474</v>
      </c>
    </row>
    <row r="9" spans="1:23" x14ac:dyDescent="0.4">
      <c r="D9" s="1"/>
      <c r="E9" s="1"/>
      <c r="F9" s="2"/>
      <c r="K9" s="108" t="s">
        <v>163</v>
      </c>
      <c r="L9" s="5"/>
      <c r="M9" s="5"/>
      <c r="N9" s="5"/>
      <c r="O9" s="5">
        <f>SUMIF($C$17:$C$67,"elmr*",O$17:O$67)</f>
        <v>0</v>
      </c>
      <c r="P9" s="5">
        <f t="shared" ref="P9:W9" si="2">SUMIF($C$17:$C$67,"elmr*",P$17:P$67)</f>
        <v>0</v>
      </c>
      <c r="Q9" s="5">
        <f t="shared" si="2"/>
        <v>0</v>
      </c>
      <c r="R9" s="5">
        <f t="shared" si="2"/>
        <v>-5000</v>
      </c>
      <c r="S9" s="5">
        <f t="shared" si="2"/>
        <v>-5000</v>
      </c>
      <c r="T9" s="5">
        <f t="shared" si="2"/>
        <v>0</v>
      </c>
      <c r="U9" s="5">
        <f t="shared" si="2"/>
        <v>0</v>
      </c>
      <c r="V9" s="5">
        <f t="shared" si="2"/>
        <v>0</v>
      </c>
      <c r="W9" s="5">
        <f t="shared" si="2"/>
        <v>-5000</v>
      </c>
    </row>
    <row r="10" spans="1:23" x14ac:dyDescent="0.4">
      <c r="I10" s="115" t="s">
        <v>4</v>
      </c>
      <c r="J10" s="115"/>
      <c r="K10" s="115"/>
      <c r="L10" s="5">
        <f>SUMIF($C$17:$C$67,"HE01*",L$17:L$67)</f>
        <v>-1</v>
      </c>
      <c r="M10" s="5">
        <f>SUMIF($C$17:$C$67,"HE01*",M$17:M$67)</f>
        <v>0</v>
      </c>
      <c r="N10" s="5">
        <f>SUMIF($C$17:$C$67,"HE01*",N$17:N$67)</f>
        <v>0</v>
      </c>
      <c r="O10" s="5">
        <f>SUMIF($C$17:$C$67,"HE01*",O$17:O$67)</f>
        <v>-1</v>
      </c>
      <c r="P10" s="5">
        <f t="shared" ref="P10:W10" si="3">SUMIF($C$17:$C$67,"HE01*",P$17:P$67)</f>
        <v>0</v>
      </c>
      <c r="Q10" s="5">
        <f t="shared" si="3"/>
        <v>0</v>
      </c>
      <c r="R10" s="5">
        <f t="shared" si="3"/>
        <v>0</v>
      </c>
      <c r="S10" s="5">
        <f t="shared" si="3"/>
        <v>-1</v>
      </c>
      <c r="T10" s="5">
        <f t="shared" si="3"/>
        <v>0</v>
      </c>
      <c r="U10" s="5">
        <f t="shared" si="3"/>
        <v>0</v>
      </c>
      <c r="V10" s="5">
        <f t="shared" si="3"/>
        <v>0</v>
      </c>
      <c r="W10" s="5">
        <f t="shared" si="3"/>
        <v>-1</v>
      </c>
    </row>
    <row r="11" spans="1:23" x14ac:dyDescent="0.4">
      <c r="I11" s="4"/>
      <c r="J11" s="4"/>
      <c r="K11" s="39" t="s">
        <v>5</v>
      </c>
      <c r="L11" s="5">
        <f>SUMIF($C$17:$C$67,"HE09*",L$17:L$67)</f>
        <v>-435754</v>
      </c>
      <c r="M11" s="5">
        <f>SUMIF($C$17:$C$67,"HE09*",M$17:M$67)</f>
        <v>0</v>
      </c>
      <c r="N11" s="5">
        <f>SUMIF($C$17:$C$67,"HE09*",N$17:N$67)</f>
        <v>0</v>
      </c>
      <c r="O11" s="5">
        <f>SUMIF($C$17:$C$67,"HE09*",O$17:O$67)</f>
        <v>-435754</v>
      </c>
      <c r="P11" s="5">
        <f t="shared" ref="P11:W11" si="4">SUMIF($C$17:$C$67,"HE09*",P$17:P$67)</f>
        <v>0</v>
      </c>
      <c r="Q11" s="5">
        <f t="shared" si="4"/>
        <v>0</v>
      </c>
      <c r="R11" s="5">
        <f t="shared" si="4"/>
        <v>0</v>
      </c>
      <c r="S11" s="5">
        <f t="shared" si="4"/>
        <v>-435754</v>
      </c>
      <c r="T11" s="5">
        <f t="shared" si="4"/>
        <v>0</v>
      </c>
      <c r="U11" s="5">
        <f t="shared" si="4"/>
        <v>0</v>
      </c>
      <c r="V11" s="5">
        <f t="shared" si="4"/>
        <v>0</v>
      </c>
      <c r="W11" s="5">
        <f t="shared" si="4"/>
        <v>-435754</v>
      </c>
    </row>
    <row r="12" spans="1:23" x14ac:dyDescent="0.4">
      <c r="K12" s="7" t="s">
        <v>6</v>
      </c>
      <c r="L12" s="8">
        <f>SUM(L7:L11)</f>
        <v>-104348465.54946399</v>
      </c>
      <c r="M12" s="8">
        <f>SUM(M7:M11)</f>
        <v>-1500000</v>
      </c>
      <c r="N12" s="8">
        <f t="shared" ref="N12:O12" si="5">SUM(N7:N11)</f>
        <v>80000</v>
      </c>
      <c r="O12" s="8">
        <f t="shared" si="5"/>
        <v>-105768465.54946402</v>
      </c>
      <c r="P12" s="8">
        <f t="shared" ref="P12:S12" si="6">SUM(P7:P11)</f>
        <v>-40956663.778797105</v>
      </c>
      <c r="Q12" s="8">
        <f t="shared" si="6"/>
        <v>-150000</v>
      </c>
      <c r="R12" s="8">
        <f t="shared" si="6"/>
        <v>-5000</v>
      </c>
      <c r="S12" s="8">
        <f t="shared" si="6"/>
        <v>-146880129.32826114</v>
      </c>
      <c r="T12" s="8">
        <f t="shared" ref="T12:W12" si="7">SUM(T7:T11)</f>
        <v>800000</v>
      </c>
      <c r="U12" s="8">
        <f t="shared" si="7"/>
        <v>35430000.449988</v>
      </c>
      <c r="V12" s="8">
        <f t="shared" si="7"/>
        <v>99999.999999996275</v>
      </c>
      <c r="W12" s="8">
        <f t="shared" si="7"/>
        <v>-110550128.87827313</v>
      </c>
    </row>
    <row r="13" spans="1:23" s="19" customFormat="1" ht="69.45" customHeight="1" x14ac:dyDescent="0.4">
      <c r="A13" s="20" t="s">
        <v>7</v>
      </c>
      <c r="B13" s="33"/>
      <c r="C13" s="20" t="s">
        <v>8</v>
      </c>
      <c r="D13" s="20" t="s">
        <v>9</v>
      </c>
      <c r="E13" s="20" t="s">
        <v>10</v>
      </c>
      <c r="F13" s="20" t="s">
        <v>11</v>
      </c>
      <c r="G13" s="21" t="s">
        <v>12</v>
      </c>
      <c r="H13" s="20" t="s">
        <v>13</v>
      </c>
      <c r="I13" s="20" t="s">
        <v>14</v>
      </c>
      <c r="J13" s="20" t="s">
        <v>62</v>
      </c>
      <c r="K13" s="20" t="s">
        <v>15</v>
      </c>
      <c r="L13" s="60" t="s">
        <v>96</v>
      </c>
      <c r="M13" s="71" t="s">
        <v>138</v>
      </c>
      <c r="N13" s="77" t="s">
        <v>104</v>
      </c>
      <c r="O13" s="71" t="s">
        <v>143</v>
      </c>
      <c r="P13" s="71" t="s">
        <v>144</v>
      </c>
      <c r="Q13" s="99" t="s">
        <v>145</v>
      </c>
      <c r="R13" s="99" t="s">
        <v>104</v>
      </c>
      <c r="S13" s="71" t="s">
        <v>165</v>
      </c>
      <c r="T13" s="71" t="s">
        <v>166</v>
      </c>
      <c r="U13" s="99" t="s">
        <v>171</v>
      </c>
      <c r="V13" s="99" t="s">
        <v>104</v>
      </c>
      <c r="W13" s="71" t="s">
        <v>105</v>
      </c>
    </row>
    <row r="14" spans="1:23" s="19" customFormat="1" ht="34.299999999999997" customHeight="1" x14ac:dyDescent="0.4">
      <c r="A14" s="13"/>
      <c r="B14" s="34"/>
      <c r="D14" s="27"/>
      <c r="E14" s="27"/>
      <c r="F14" s="27"/>
      <c r="G14" s="28"/>
      <c r="H14" s="13"/>
      <c r="I14" s="16"/>
      <c r="J14" s="16"/>
      <c r="K14" s="17" t="s">
        <v>16</v>
      </c>
      <c r="L14" s="29" t="s">
        <v>17</v>
      </c>
      <c r="M14" s="72" t="s">
        <v>139</v>
      </c>
      <c r="N14" s="72" t="s">
        <v>106</v>
      </c>
      <c r="O14" s="13"/>
      <c r="P14" s="29" t="s">
        <v>139</v>
      </c>
      <c r="Q14" s="100" t="s">
        <v>146</v>
      </c>
      <c r="R14" s="72" t="s">
        <v>106</v>
      </c>
      <c r="S14" s="11"/>
      <c r="T14" s="29" t="s">
        <v>139</v>
      </c>
      <c r="U14" s="100" t="s">
        <v>146</v>
      </c>
      <c r="V14" s="72" t="s">
        <v>106</v>
      </c>
      <c r="W14" s="13"/>
    </row>
    <row r="15" spans="1:23" s="19" customFormat="1" ht="31.3" customHeight="1" x14ac:dyDescent="0.3">
      <c r="A15" s="13"/>
      <c r="B15" s="35"/>
      <c r="C15" s="13" t="s">
        <v>18</v>
      </c>
      <c r="D15" s="14" t="s">
        <v>18</v>
      </c>
      <c r="E15" s="14"/>
      <c r="F15" s="14"/>
      <c r="G15" s="15" t="s">
        <v>18</v>
      </c>
      <c r="H15" s="13"/>
      <c r="I15" s="16"/>
      <c r="J15" s="16"/>
      <c r="K15" s="17" t="s">
        <v>19</v>
      </c>
      <c r="L15" s="18">
        <v>2025</v>
      </c>
      <c r="M15" s="97" t="s">
        <v>107</v>
      </c>
      <c r="N15" s="78" t="s">
        <v>107</v>
      </c>
      <c r="O15" s="13"/>
      <c r="P15" s="97" t="s">
        <v>147</v>
      </c>
      <c r="Q15" s="101" t="s">
        <v>148</v>
      </c>
      <c r="R15" s="97" t="s">
        <v>149</v>
      </c>
      <c r="S15" s="11"/>
      <c r="T15" s="97" t="s">
        <v>170</v>
      </c>
      <c r="U15" s="101" t="s">
        <v>167</v>
      </c>
      <c r="V15" s="97" t="s">
        <v>168</v>
      </c>
      <c r="W15" s="13"/>
    </row>
    <row r="16" spans="1:23" s="114" customFormat="1" ht="12.9" x14ac:dyDescent="0.4">
      <c r="A16" s="109"/>
      <c r="B16" s="110"/>
      <c r="C16" s="111"/>
      <c r="D16" s="112"/>
      <c r="E16" s="112"/>
      <c r="F16" s="112"/>
      <c r="G16" s="111"/>
      <c r="H16" s="111"/>
      <c r="I16" s="112"/>
      <c r="J16" s="111"/>
      <c r="K16" s="111"/>
      <c r="L16" s="113">
        <f>+SUBTOTAL(9,L17:L67)</f>
        <v>-104348465.549464</v>
      </c>
      <c r="M16" s="113">
        <f>+SUBTOTAL(9,M17:M67)</f>
        <v>-1500000</v>
      </c>
      <c r="N16" s="113">
        <f>+SUBTOTAL(9,N17:N67)</f>
        <v>80000</v>
      </c>
      <c r="O16" s="113">
        <f>+SUBTOTAL(9,O17:O67)</f>
        <v>-105768465.549464</v>
      </c>
      <c r="P16" s="113">
        <f t="shared" ref="P16:W16" si="8">+SUBTOTAL(9,P17:P67)</f>
        <v>-40956663.778797105</v>
      </c>
      <c r="Q16" s="113">
        <f t="shared" si="8"/>
        <v>-150000</v>
      </c>
      <c r="R16" s="113">
        <f t="shared" si="8"/>
        <v>-5000</v>
      </c>
      <c r="S16" s="113">
        <f t="shared" si="8"/>
        <v>-146880129.32826111</v>
      </c>
      <c r="T16" s="113">
        <f t="shared" si="8"/>
        <v>800000</v>
      </c>
      <c r="U16" s="113">
        <f t="shared" si="8"/>
        <v>35430000.449988</v>
      </c>
      <c r="V16" s="113">
        <f t="shared" si="8"/>
        <v>99999.999999996275</v>
      </c>
      <c r="W16" s="113">
        <f t="shared" si="8"/>
        <v>-110550128.87827311</v>
      </c>
    </row>
    <row r="17" spans="1:23" s="19" customFormat="1" ht="71.150000000000006" customHeight="1" x14ac:dyDescent="0.4">
      <c r="A17" s="10" t="s">
        <v>169</v>
      </c>
      <c r="B17" s="56" t="s">
        <v>57</v>
      </c>
      <c r="C17" s="11" t="s">
        <v>64</v>
      </c>
      <c r="D17" s="10" t="s">
        <v>65</v>
      </c>
      <c r="E17" s="10" t="s">
        <v>66</v>
      </c>
      <c r="F17" s="10" t="s">
        <v>67</v>
      </c>
      <c r="G17" s="11" t="s">
        <v>24</v>
      </c>
      <c r="H17" s="11"/>
      <c r="I17" s="10"/>
      <c r="J17" s="55" t="s">
        <v>68</v>
      </c>
      <c r="K17" s="10" t="s">
        <v>99</v>
      </c>
      <c r="L17" s="12">
        <f>-261452-174302</f>
        <v>-435754</v>
      </c>
      <c r="M17" s="12"/>
      <c r="N17" s="73"/>
      <c r="O17" s="12">
        <f>+L17+M17+N17</f>
        <v>-435754</v>
      </c>
      <c r="P17" s="12"/>
      <c r="Q17" s="12"/>
      <c r="R17" s="12"/>
      <c r="S17" s="12">
        <f>+O17+P17+Q17+R17</f>
        <v>-435754</v>
      </c>
      <c r="T17" s="13"/>
      <c r="U17" s="13"/>
      <c r="V17" s="13"/>
      <c r="W17" s="12">
        <f>+S17+T17+U17+V17</f>
        <v>-435754</v>
      </c>
    </row>
    <row r="18" spans="1:23" s="62" customFormat="1" x14ac:dyDescent="0.4">
      <c r="A18" s="61" t="s">
        <v>100</v>
      </c>
      <c r="B18" s="63"/>
      <c r="C18" s="61"/>
      <c r="D18" s="64"/>
      <c r="E18" s="64"/>
      <c r="F18" s="64"/>
      <c r="G18" s="61"/>
      <c r="H18" s="61"/>
      <c r="I18" s="64"/>
      <c r="J18" s="65"/>
      <c r="K18" s="64"/>
      <c r="L18" s="66">
        <f>+SUBTOTAL(9,L17:L17)</f>
        <v>-435754</v>
      </c>
      <c r="M18" s="66">
        <f>+SUBTOTAL(9,M17:M17)</f>
        <v>0</v>
      </c>
      <c r="N18" s="66">
        <f>+SUBTOTAL(9,N17:N17)</f>
        <v>0</v>
      </c>
      <c r="O18" s="66">
        <f>+SUBTOTAL(9,O17:O17)</f>
        <v>-435754</v>
      </c>
      <c r="P18" s="66">
        <f t="shared" ref="P18:W18" si="9">+SUBTOTAL(9,P17:P17)</f>
        <v>0</v>
      </c>
      <c r="Q18" s="66">
        <f t="shared" si="9"/>
        <v>0</v>
      </c>
      <c r="R18" s="66">
        <f t="shared" si="9"/>
        <v>0</v>
      </c>
      <c r="S18" s="66">
        <f t="shared" si="9"/>
        <v>-435754</v>
      </c>
      <c r="T18" s="66">
        <f t="shared" si="9"/>
        <v>0</v>
      </c>
      <c r="U18" s="66">
        <f t="shared" si="9"/>
        <v>0</v>
      </c>
      <c r="V18" s="66">
        <f t="shared" si="9"/>
        <v>0</v>
      </c>
      <c r="W18" s="66">
        <f t="shared" si="9"/>
        <v>-435754</v>
      </c>
    </row>
    <row r="19" spans="1:23" s="23" customFormat="1" ht="38.6" x14ac:dyDescent="0.4">
      <c r="A19" s="26" t="s">
        <v>97</v>
      </c>
      <c r="B19" s="34" t="s">
        <v>58</v>
      </c>
      <c r="C19" s="11" t="s">
        <v>55</v>
      </c>
      <c r="D19" s="10" t="s">
        <v>61</v>
      </c>
      <c r="E19" s="10" t="s">
        <v>59</v>
      </c>
      <c r="F19" s="10" t="s">
        <v>60</v>
      </c>
      <c r="G19" s="53" t="s">
        <v>24</v>
      </c>
      <c r="H19" s="11"/>
      <c r="I19" s="10"/>
      <c r="J19" s="11" t="s">
        <v>63</v>
      </c>
      <c r="K19" s="10" t="s">
        <v>98</v>
      </c>
      <c r="L19" s="12">
        <v>-1</v>
      </c>
      <c r="M19" s="12"/>
      <c r="N19" s="79"/>
      <c r="O19" s="12">
        <f>+L19+M19+N19</f>
        <v>-1</v>
      </c>
      <c r="P19" s="79"/>
      <c r="Q19" s="79"/>
      <c r="R19" s="79"/>
      <c r="S19" s="12">
        <f>+O19+P19+Q19+R19</f>
        <v>-1</v>
      </c>
      <c r="T19" s="83"/>
      <c r="U19" s="83"/>
      <c r="V19" s="83"/>
      <c r="W19" s="12">
        <f t="shared" ref="W19:W66" si="10">+S19+T19+U19+V19</f>
        <v>-1</v>
      </c>
    </row>
    <row r="20" spans="1:23" s="22" customFormat="1" ht="12.9" x14ac:dyDescent="0.4">
      <c r="A20" s="61" t="s">
        <v>56</v>
      </c>
      <c r="B20" s="37"/>
      <c r="C20" s="36"/>
      <c r="D20" s="37"/>
      <c r="E20" s="37"/>
      <c r="F20" s="37"/>
      <c r="G20" s="36"/>
      <c r="H20" s="36"/>
      <c r="I20" s="37"/>
      <c r="J20" s="36"/>
      <c r="K20" s="36"/>
      <c r="L20" s="38">
        <f>+SUBTOTAL(9,L19)</f>
        <v>-1</v>
      </c>
      <c r="M20" s="38">
        <f t="shared" ref="M20:W20" si="11">+SUBTOTAL(9,M19)</f>
        <v>0</v>
      </c>
      <c r="N20" s="38">
        <f t="shared" si="11"/>
        <v>0</v>
      </c>
      <c r="O20" s="38">
        <f t="shared" si="11"/>
        <v>-1</v>
      </c>
      <c r="P20" s="38">
        <f t="shared" si="11"/>
        <v>0</v>
      </c>
      <c r="Q20" s="38">
        <f t="shared" si="11"/>
        <v>0</v>
      </c>
      <c r="R20" s="38">
        <f t="shared" si="11"/>
        <v>0</v>
      </c>
      <c r="S20" s="38">
        <f t="shared" si="11"/>
        <v>-1</v>
      </c>
      <c r="T20" s="38">
        <f t="shared" si="11"/>
        <v>0</v>
      </c>
      <c r="U20" s="38">
        <f t="shared" si="11"/>
        <v>0</v>
      </c>
      <c r="V20" s="38">
        <f t="shared" si="11"/>
        <v>0</v>
      </c>
      <c r="W20" s="38">
        <f t="shared" si="11"/>
        <v>-1</v>
      </c>
    </row>
    <row r="21" spans="1:23" s="22" customFormat="1" ht="51.45" x14ac:dyDescent="0.4">
      <c r="A21" s="11" t="s">
        <v>32</v>
      </c>
      <c r="B21" s="57" t="s">
        <v>137</v>
      </c>
      <c r="C21" s="11" t="s">
        <v>27</v>
      </c>
      <c r="D21" s="10" t="s">
        <v>72</v>
      </c>
      <c r="E21" s="10" t="s">
        <v>73</v>
      </c>
      <c r="F21" s="10" t="s">
        <v>74</v>
      </c>
      <c r="G21" s="11" t="s">
        <v>24</v>
      </c>
      <c r="H21" s="11"/>
      <c r="I21" s="10"/>
      <c r="J21" s="53" t="s">
        <v>63</v>
      </c>
      <c r="K21" s="10" t="s">
        <v>136</v>
      </c>
      <c r="L21" s="25">
        <f>-15458000+14920000</f>
        <v>-538000</v>
      </c>
      <c r="M21" s="25"/>
      <c r="N21" s="12">
        <f>-50826233+3000000</f>
        <v>-47826233</v>
      </c>
      <c r="O21" s="12">
        <f t="shared" ref="O21:O66" si="12">+L21+M21+N21</f>
        <v>-48364233</v>
      </c>
      <c r="P21" s="12">
        <v>-6453955.8499999996</v>
      </c>
      <c r="Q21" s="12"/>
      <c r="R21" s="12"/>
      <c r="S21" s="12">
        <f t="shared" ref="S21:S66" si="13">+O21+P21+Q21+R21</f>
        <v>-54818188.850000001</v>
      </c>
      <c r="T21" s="12"/>
      <c r="U21" s="12">
        <f>21804154+4400000+1500000</f>
        <v>27704154</v>
      </c>
      <c r="V21" s="12">
        <v>-23698252.224010102</v>
      </c>
      <c r="W21" s="12">
        <f t="shared" si="10"/>
        <v>-50812287.074010104</v>
      </c>
    </row>
    <row r="22" spans="1:23" s="22" customFormat="1" ht="25.75" x14ac:dyDescent="0.4">
      <c r="A22" s="11"/>
      <c r="B22" s="56" t="s">
        <v>33</v>
      </c>
      <c r="C22" s="11" t="s">
        <v>27</v>
      </c>
      <c r="D22" s="10" t="s">
        <v>72</v>
      </c>
      <c r="E22" s="10" t="s">
        <v>73</v>
      </c>
      <c r="F22" s="10" t="s">
        <v>74</v>
      </c>
      <c r="G22" s="11" t="s">
        <v>24</v>
      </c>
      <c r="H22" s="11"/>
      <c r="I22" s="10"/>
      <c r="J22" s="54" t="s">
        <v>71</v>
      </c>
      <c r="K22" s="40" t="s">
        <v>34</v>
      </c>
      <c r="L22" s="12">
        <v>-999636.2</v>
      </c>
      <c r="M22" s="12"/>
      <c r="N22" s="12"/>
      <c r="O22" s="12">
        <f t="shared" si="12"/>
        <v>-999636.2</v>
      </c>
      <c r="P22" s="12"/>
      <c r="Q22" s="12"/>
      <c r="R22" s="12"/>
      <c r="S22" s="12">
        <f t="shared" si="13"/>
        <v>-999636.2</v>
      </c>
      <c r="T22" s="12"/>
      <c r="U22" s="12"/>
      <c r="V22" s="12"/>
      <c r="W22" s="12">
        <f t="shared" si="10"/>
        <v>-999636.2</v>
      </c>
    </row>
    <row r="23" spans="1:23" s="22" customFormat="1" ht="51.45" x14ac:dyDescent="0.4">
      <c r="C23" s="11" t="s">
        <v>29</v>
      </c>
      <c r="D23" s="10" t="s">
        <v>30</v>
      </c>
      <c r="E23" s="10" t="s">
        <v>93</v>
      </c>
      <c r="F23" s="10" t="s">
        <v>94</v>
      </c>
      <c r="G23" s="53" t="s">
        <v>24</v>
      </c>
      <c r="H23" s="11"/>
      <c r="I23" s="10"/>
      <c r="J23" s="26" t="s">
        <v>63</v>
      </c>
      <c r="K23" s="10" t="s">
        <v>136</v>
      </c>
      <c r="L23" s="12"/>
      <c r="M23" s="12"/>
      <c r="N23" s="12"/>
      <c r="O23" s="12"/>
      <c r="P23" s="12"/>
      <c r="Q23" s="12"/>
      <c r="R23" s="12"/>
      <c r="S23" s="12">
        <f t="shared" si="13"/>
        <v>0</v>
      </c>
      <c r="T23" s="12"/>
      <c r="U23" s="12"/>
      <c r="V23" s="12">
        <v>-297491</v>
      </c>
      <c r="W23" s="12">
        <f t="shared" si="10"/>
        <v>-297491</v>
      </c>
    </row>
    <row r="24" spans="1:23" s="22" customFormat="1" ht="25.75" x14ac:dyDescent="0.4">
      <c r="A24" s="11"/>
      <c r="B24" s="56" t="s">
        <v>92</v>
      </c>
      <c r="C24" s="11" t="s">
        <v>35</v>
      </c>
      <c r="D24" s="10" t="s">
        <v>78</v>
      </c>
      <c r="E24" s="10" t="s">
        <v>90</v>
      </c>
      <c r="F24" s="10" t="s">
        <v>91</v>
      </c>
      <c r="G24" s="11" t="s">
        <v>24</v>
      </c>
      <c r="H24" s="11" t="s">
        <v>36</v>
      </c>
      <c r="I24" s="10" t="s">
        <v>37</v>
      </c>
      <c r="J24" s="11" t="s">
        <v>63</v>
      </c>
      <c r="K24" s="10" t="s">
        <v>103</v>
      </c>
      <c r="L24" s="12">
        <v>-13997.34</v>
      </c>
      <c r="M24" s="12"/>
      <c r="N24" s="12"/>
      <c r="O24" s="12">
        <f t="shared" si="12"/>
        <v>-13997.34</v>
      </c>
      <c r="P24" s="12">
        <v>-30802.36996</v>
      </c>
      <c r="Q24" s="12"/>
      <c r="R24" s="12"/>
      <c r="S24" s="12">
        <f t="shared" si="13"/>
        <v>-44799.70996</v>
      </c>
      <c r="T24" s="12"/>
      <c r="U24" s="12"/>
      <c r="V24" s="12"/>
      <c r="W24" s="12">
        <f t="shared" si="10"/>
        <v>-44799.70996</v>
      </c>
    </row>
    <row r="25" spans="1:23" s="22" customFormat="1" ht="38.6" x14ac:dyDescent="0.4">
      <c r="A25" s="11"/>
      <c r="B25" s="56" t="s">
        <v>108</v>
      </c>
      <c r="C25" s="11" t="s">
        <v>35</v>
      </c>
      <c r="D25" s="10" t="s">
        <v>78</v>
      </c>
      <c r="E25" s="10" t="s">
        <v>81</v>
      </c>
      <c r="F25" s="10" t="s">
        <v>82</v>
      </c>
      <c r="G25" s="11" t="s">
        <v>24</v>
      </c>
      <c r="H25" s="11"/>
      <c r="I25" s="10"/>
      <c r="J25" s="53" t="s">
        <v>63</v>
      </c>
      <c r="K25" s="10" t="s">
        <v>110</v>
      </c>
      <c r="L25" s="12">
        <f>-9900113-471996-248899</f>
        <v>-10621008</v>
      </c>
      <c r="M25" s="12"/>
      <c r="N25" s="12"/>
      <c r="O25" s="12">
        <f t="shared" si="12"/>
        <v>-10621008</v>
      </c>
      <c r="P25" s="12">
        <v>-3869071.5099899997</v>
      </c>
      <c r="Q25" s="12"/>
      <c r="R25" s="12"/>
      <c r="S25" s="12">
        <f t="shared" si="13"/>
        <v>-14490079.509989999</v>
      </c>
      <c r="T25" s="12"/>
      <c r="U25" s="12">
        <v>600000</v>
      </c>
      <c r="V25" s="12"/>
      <c r="W25" s="12">
        <f t="shared" si="10"/>
        <v>-13890079.509989999</v>
      </c>
    </row>
    <row r="26" spans="1:23" s="22" customFormat="1" ht="25.75" x14ac:dyDescent="0.4">
      <c r="A26" s="11"/>
      <c r="B26" s="56" t="s">
        <v>33</v>
      </c>
      <c r="C26" s="11" t="s">
        <v>35</v>
      </c>
      <c r="D26" s="10" t="s">
        <v>78</v>
      </c>
      <c r="E26" s="10" t="s">
        <v>83</v>
      </c>
      <c r="F26" s="10" t="s">
        <v>84</v>
      </c>
      <c r="G26" s="11" t="s">
        <v>24</v>
      </c>
      <c r="H26" s="11" t="s">
        <v>18</v>
      </c>
      <c r="I26" s="10" t="s">
        <v>18</v>
      </c>
      <c r="J26" s="53" t="s">
        <v>71</v>
      </c>
      <c r="K26" s="10" t="s">
        <v>34</v>
      </c>
      <c r="L26" s="12">
        <f>+(-999636.2)*2</f>
        <v>-1999272.4</v>
      </c>
      <c r="M26" s="12"/>
      <c r="N26" s="12"/>
      <c r="O26" s="12">
        <f t="shared" si="12"/>
        <v>-1999272.4</v>
      </c>
      <c r="P26" s="12"/>
      <c r="Q26" s="12"/>
      <c r="R26" s="12"/>
      <c r="S26" s="12">
        <f t="shared" si="13"/>
        <v>-1999272.4</v>
      </c>
      <c r="T26" s="12"/>
      <c r="U26" s="12"/>
      <c r="V26" s="12"/>
      <c r="W26" s="12">
        <f t="shared" si="10"/>
        <v>-1999272.4</v>
      </c>
    </row>
    <row r="27" spans="1:23" s="22" customFormat="1" ht="51.45" x14ac:dyDescent="0.4">
      <c r="A27" s="11"/>
      <c r="B27" s="56" t="s">
        <v>38</v>
      </c>
      <c r="C27" s="11" t="s">
        <v>39</v>
      </c>
      <c r="D27" s="10" t="s">
        <v>40</v>
      </c>
      <c r="E27" s="10" t="s">
        <v>85</v>
      </c>
      <c r="F27" s="10" t="s">
        <v>86</v>
      </c>
      <c r="G27" s="11" t="s">
        <v>24</v>
      </c>
      <c r="H27" s="11" t="s">
        <v>41</v>
      </c>
      <c r="I27" s="10" t="s">
        <v>42</v>
      </c>
      <c r="J27" s="53" t="s">
        <v>87</v>
      </c>
      <c r="K27" s="69" t="s">
        <v>102</v>
      </c>
      <c r="L27" s="12">
        <v>-1299999.9998999999</v>
      </c>
      <c r="M27" s="12">
        <v>-1500000</v>
      </c>
      <c r="N27" s="12"/>
      <c r="O27" s="12">
        <f t="shared" si="12"/>
        <v>-2799999.9999000002</v>
      </c>
      <c r="P27" s="12"/>
      <c r="Q27" s="12"/>
      <c r="R27" s="12"/>
      <c r="S27" s="12">
        <f t="shared" si="13"/>
        <v>-2799999.9999000002</v>
      </c>
      <c r="T27" s="12"/>
      <c r="U27" s="12"/>
      <c r="V27" s="12"/>
      <c r="W27" s="12">
        <f t="shared" si="10"/>
        <v>-2799999.9999000002</v>
      </c>
    </row>
    <row r="28" spans="1:23" s="22" customFormat="1" ht="42.75" customHeight="1" x14ac:dyDescent="0.4">
      <c r="A28" s="11"/>
      <c r="B28" s="56" t="s">
        <v>43</v>
      </c>
      <c r="C28" s="11" t="s">
        <v>39</v>
      </c>
      <c r="D28" s="10" t="s">
        <v>40</v>
      </c>
      <c r="E28" s="10" t="s">
        <v>85</v>
      </c>
      <c r="F28" s="10" t="s">
        <v>86</v>
      </c>
      <c r="G28" s="11" t="s">
        <v>24</v>
      </c>
      <c r="H28" s="11"/>
      <c r="I28" s="10"/>
      <c r="J28" s="11" t="s">
        <v>63</v>
      </c>
      <c r="K28" s="10" t="s">
        <v>111</v>
      </c>
      <c r="L28" s="12">
        <v>-5383981.9999000002</v>
      </c>
      <c r="M28" s="12"/>
      <c r="N28" s="25">
        <v>80000</v>
      </c>
      <c r="O28" s="12">
        <f t="shared" si="12"/>
        <v>-5303981.9999000002</v>
      </c>
      <c r="P28" s="12">
        <v>-655217.76046039897</v>
      </c>
      <c r="Q28" s="12"/>
      <c r="R28" s="12"/>
      <c r="S28" s="12">
        <f t="shared" si="13"/>
        <v>-5959199.7603603993</v>
      </c>
      <c r="T28" s="12"/>
      <c r="U28" s="12"/>
      <c r="V28" s="12"/>
      <c r="W28" s="12">
        <f t="shared" si="10"/>
        <v>-5959199.7603603993</v>
      </c>
    </row>
    <row r="29" spans="1:23" s="22" customFormat="1" ht="39" customHeight="1" x14ac:dyDescent="0.4">
      <c r="A29" s="11"/>
      <c r="B29" s="56" t="s">
        <v>33</v>
      </c>
      <c r="C29" s="11" t="s">
        <v>39</v>
      </c>
      <c r="D29" s="10" t="s">
        <v>40</v>
      </c>
      <c r="E29" s="10" t="s">
        <v>85</v>
      </c>
      <c r="F29" s="10" t="s">
        <v>86</v>
      </c>
      <c r="G29" s="11" t="s">
        <v>24</v>
      </c>
      <c r="H29" s="11"/>
      <c r="I29" s="10"/>
      <c r="J29" s="11" t="s">
        <v>71</v>
      </c>
      <c r="K29" s="10" t="s">
        <v>34</v>
      </c>
      <c r="L29" s="12">
        <v>-999636.2</v>
      </c>
      <c r="M29" s="12"/>
      <c r="N29" s="12"/>
      <c r="O29" s="12">
        <f t="shared" si="12"/>
        <v>-999636.2</v>
      </c>
      <c r="P29" s="12"/>
      <c r="Q29" s="12"/>
      <c r="R29" s="12"/>
      <c r="S29" s="12">
        <f t="shared" si="13"/>
        <v>-999636.2</v>
      </c>
      <c r="T29" s="12"/>
      <c r="U29" s="12"/>
      <c r="V29" s="12"/>
      <c r="W29" s="12">
        <f t="shared" si="10"/>
        <v>-999636.2</v>
      </c>
    </row>
    <row r="30" spans="1:23" s="22" customFormat="1" ht="29.25" customHeight="1" x14ac:dyDescent="0.4">
      <c r="A30" s="11"/>
      <c r="B30" s="56" t="s">
        <v>92</v>
      </c>
      <c r="C30" s="11" t="s">
        <v>69</v>
      </c>
      <c r="D30" s="10" t="s">
        <v>70</v>
      </c>
      <c r="E30" s="10" t="s">
        <v>75</v>
      </c>
      <c r="F30" s="10" t="s">
        <v>76</v>
      </c>
      <c r="G30" s="11" t="s">
        <v>24</v>
      </c>
      <c r="H30" s="11" t="s">
        <v>36</v>
      </c>
      <c r="I30" s="10" t="s">
        <v>37</v>
      </c>
      <c r="J30" s="11" t="s">
        <v>63</v>
      </c>
      <c r="K30" s="10" t="s">
        <v>103</v>
      </c>
      <c r="L30" s="12">
        <v>-492.66</v>
      </c>
      <c r="M30" s="12"/>
      <c r="N30" s="12"/>
      <c r="O30" s="12">
        <f t="shared" si="12"/>
        <v>-492.66</v>
      </c>
      <c r="P30" s="12">
        <v>-903.69004000000018</v>
      </c>
      <c r="Q30" s="12"/>
      <c r="R30" s="12"/>
      <c r="S30" s="12">
        <f t="shared" si="13"/>
        <v>-1396.3500400000003</v>
      </c>
      <c r="T30" s="12"/>
      <c r="U30" s="12"/>
      <c r="V30" s="12"/>
      <c r="W30" s="12">
        <f t="shared" si="10"/>
        <v>-1396.3500400000003</v>
      </c>
    </row>
    <row r="31" spans="1:23" s="22" customFormat="1" ht="40.5" customHeight="1" x14ac:dyDescent="0.4">
      <c r="A31" s="11"/>
      <c r="B31" s="56" t="s">
        <v>44</v>
      </c>
      <c r="C31" s="11" t="s">
        <v>69</v>
      </c>
      <c r="D31" s="10" t="s">
        <v>70</v>
      </c>
      <c r="E31" s="10" t="s">
        <v>88</v>
      </c>
      <c r="F31" s="10" t="s">
        <v>89</v>
      </c>
      <c r="G31" s="11" t="s">
        <v>24</v>
      </c>
      <c r="H31" s="11"/>
      <c r="I31" s="10"/>
      <c r="J31" s="11" t="s">
        <v>63</v>
      </c>
      <c r="K31" s="10" t="s">
        <v>112</v>
      </c>
      <c r="L31" s="12">
        <f>-10450000-1420000</f>
        <v>-11870000</v>
      </c>
      <c r="M31" s="12"/>
      <c r="N31" s="12"/>
      <c r="O31" s="12">
        <f t="shared" si="12"/>
        <v>-11870000</v>
      </c>
      <c r="P31" s="12">
        <v>-963817.36</v>
      </c>
      <c r="Q31" s="12"/>
      <c r="R31" s="12"/>
      <c r="S31" s="12">
        <f t="shared" si="13"/>
        <v>-12833817.359999999</v>
      </c>
      <c r="T31" s="12"/>
      <c r="U31" s="12">
        <v>2400000</v>
      </c>
      <c r="V31" s="12"/>
      <c r="W31" s="12">
        <f t="shared" si="10"/>
        <v>-10433817.359999999</v>
      </c>
    </row>
    <row r="32" spans="1:23" s="22" customFormat="1" ht="34.5" customHeight="1" x14ac:dyDescent="0.4">
      <c r="A32" s="11"/>
      <c r="B32" s="56" t="s">
        <v>33</v>
      </c>
      <c r="C32" s="11" t="s">
        <v>69</v>
      </c>
      <c r="D32" s="10" t="s">
        <v>70</v>
      </c>
      <c r="E32" s="10" t="s">
        <v>88</v>
      </c>
      <c r="F32" s="10" t="s">
        <v>89</v>
      </c>
      <c r="G32" s="11" t="s">
        <v>24</v>
      </c>
      <c r="H32" s="11"/>
      <c r="I32" s="10"/>
      <c r="J32" s="11" t="s">
        <v>71</v>
      </c>
      <c r="K32" s="10" t="s">
        <v>34</v>
      </c>
      <c r="L32" s="12">
        <v>-999636.2</v>
      </c>
      <c r="M32" s="12"/>
      <c r="N32" s="12"/>
      <c r="O32" s="12">
        <f t="shared" si="12"/>
        <v>-999636.2</v>
      </c>
      <c r="P32" s="12"/>
      <c r="Q32" s="12"/>
      <c r="R32" s="12"/>
      <c r="S32" s="12">
        <f t="shared" si="13"/>
        <v>-999636.2</v>
      </c>
      <c r="T32" s="12"/>
      <c r="U32" s="12"/>
      <c r="V32" s="12"/>
      <c r="W32" s="12">
        <f t="shared" si="10"/>
        <v>-999636.2</v>
      </c>
    </row>
    <row r="33" spans="1:23" s="23" customFormat="1" ht="12.45" x14ac:dyDescent="0.4">
      <c r="A33" s="47" t="s">
        <v>45</v>
      </c>
      <c r="B33" s="46"/>
      <c r="C33" s="46"/>
      <c r="D33" s="37"/>
      <c r="E33" s="37"/>
      <c r="F33" s="37"/>
      <c r="G33" s="36"/>
      <c r="H33" s="36"/>
      <c r="I33" s="37"/>
      <c r="J33" s="36"/>
      <c r="K33" s="36"/>
      <c r="L33" s="38">
        <f>+SUBTOTAL(9,L21:L32)</f>
        <v>-34725660.999800004</v>
      </c>
      <c r="M33" s="38">
        <f t="shared" ref="M33:W33" si="14">+SUBTOTAL(9,M21:M32)</f>
        <v>-1500000</v>
      </c>
      <c r="N33" s="38">
        <f t="shared" si="14"/>
        <v>-47746233</v>
      </c>
      <c r="O33" s="38">
        <f t="shared" si="14"/>
        <v>-83971893.999800012</v>
      </c>
      <c r="P33" s="38">
        <f t="shared" si="14"/>
        <v>-11973768.540450398</v>
      </c>
      <c r="Q33" s="38">
        <f t="shared" si="14"/>
        <v>0</v>
      </c>
      <c r="R33" s="38">
        <f t="shared" si="14"/>
        <v>0</v>
      </c>
      <c r="S33" s="38">
        <f t="shared" si="14"/>
        <v>-95945662.540250421</v>
      </c>
      <c r="T33" s="38">
        <f t="shared" si="14"/>
        <v>0</v>
      </c>
      <c r="U33" s="38">
        <f t="shared" si="14"/>
        <v>30704154</v>
      </c>
      <c r="V33" s="38">
        <f t="shared" si="14"/>
        <v>-23995743.224010102</v>
      </c>
      <c r="W33" s="38">
        <f t="shared" si="14"/>
        <v>-89237251.764260516</v>
      </c>
    </row>
    <row r="34" spans="1:23" s="31" customFormat="1" ht="31" customHeight="1" x14ac:dyDescent="0.4">
      <c r="A34" s="26" t="s">
        <v>46</v>
      </c>
      <c r="B34" s="34" t="s">
        <v>77</v>
      </c>
      <c r="C34" s="26" t="s">
        <v>27</v>
      </c>
      <c r="D34" s="24" t="s">
        <v>72</v>
      </c>
      <c r="E34" s="24" t="s">
        <v>73</v>
      </c>
      <c r="F34" s="24" t="s">
        <v>74</v>
      </c>
      <c r="G34" s="26" t="s">
        <v>24</v>
      </c>
      <c r="H34" s="26" t="s">
        <v>18</v>
      </c>
      <c r="I34" s="24" t="s">
        <v>18</v>
      </c>
      <c r="J34" s="67" t="s">
        <v>71</v>
      </c>
      <c r="K34" s="24" t="s">
        <v>114</v>
      </c>
      <c r="L34" s="25">
        <f>-1066885+140700</f>
        <v>-926185</v>
      </c>
      <c r="M34" s="25"/>
      <c r="N34" s="25"/>
      <c r="O34" s="12">
        <f t="shared" si="12"/>
        <v>-926185</v>
      </c>
      <c r="P34" s="25"/>
      <c r="Q34" s="25"/>
      <c r="R34" s="25"/>
      <c r="S34" s="12">
        <f t="shared" si="13"/>
        <v>-926185</v>
      </c>
      <c r="T34" s="26"/>
      <c r="U34" s="26"/>
      <c r="V34" s="26"/>
      <c r="W34" s="12">
        <f t="shared" si="10"/>
        <v>-926185</v>
      </c>
    </row>
    <row r="35" spans="1:23" s="31" customFormat="1" ht="46.75" customHeight="1" x14ac:dyDescent="0.4">
      <c r="A35" s="26"/>
      <c r="B35" s="34"/>
      <c r="C35" s="26" t="s">
        <v>27</v>
      </c>
      <c r="D35" s="24" t="s">
        <v>72</v>
      </c>
      <c r="E35" s="24" t="s">
        <v>73</v>
      </c>
      <c r="F35" s="24" t="s">
        <v>74</v>
      </c>
      <c r="G35" s="26" t="s">
        <v>24</v>
      </c>
      <c r="H35" s="11" t="s">
        <v>140</v>
      </c>
      <c r="I35" s="22" t="s">
        <v>141</v>
      </c>
      <c r="J35" s="67" t="s">
        <v>87</v>
      </c>
      <c r="K35" s="98" t="s">
        <v>142</v>
      </c>
      <c r="L35" s="25">
        <v>0</v>
      </c>
      <c r="M35" s="25"/>
      <c r="N35" s="25">
        <v>-3000000</v>
      </c>
      <c r="O35" s="12">
        <f t="shared" si="12"/>
        <v>-3000000</v>
      </c>
      <c r="P35" s="25"/>
      <c r="Q35" s="25"/>
      <c r="R35" s="25"/>
      <c r="S35" s="12">
        <f t="shared" si="13"/>
        <v>-3000000</v>
      </c>
      <c r="T35" s="26"/>
      <c r="U35" s="26"/>
      <c r="V35" s="26"/>
      <c r="W35" s="12">
        <f t="shared" si="10"/>
        <v>-3000000</v>
      </c>
    </row>
    <row r="36" spans="1:23" s="31" customFormat="1" ht="40.4" customHeight="1" x14ac:dyDescent="0.4">
      <c r="A36" s="26"/>
      <c r="B36" s="34" t="s">
        <v>77</v>
      </c>
      <c r="C36" s="26" t="s">
        <v>27</v>
      </c>
      <c r="D36" s="24" t="s">
        <v>72</v>
      </c>
      <c r="E36" s="24" t="s">
        <v>73</v>
      </c>
      <c r="F36" s="24" t="s">
        <v>74</v>
      </c>
      <c r="G36" s="26" t="s">
        <v>24</v>
      </c>
      <c r="H36" s="26" t="s">
        <v>18</v>
      </c>
      <c r="I36" s="24" t="s">
        <v>18</v>
      </c>
      <c r="J36" s="67" t="s">
        <v>63</v>
      </c>
      <c r="K36" s="24" t="s">
        <v>115</v>
      </c>
      <c r="L36" s="25">
        <v>-140700</v>
      </c>
      <c r="M36" s="25"/>
      <c r="N36" s="25"/>
      <c r="O36" s="12">
        <f t="shared" si="12"/>
        <v>-140700</v>
      </c>
      <c r="P36" s="25">
        <v>-65153</v>
      </c>
      <c r="Q36" s="25"/>
      <c r="R36" s="25"/>
      <c r="S36" s="12">
        <f t="shared" si="13"/>
        <v>-205853</v>
      </c>
      <c r="T36" s="26"/>
      <c r="U36" s="26"/>
      <c r="V36" s="26"/>
      <c r="W36" s="12">
        <f t="shared" si="10"/>
        <v>-205853</v>
      </c>
    </row>
    <row r="37" spans="1:23" s="22" customFormat="1" ht="65.150000000000006" customHeight="1" x14ac:dyDescent="0.4">
      <c r="A37" s="68"/>
      <c r="B37" s="34" t="s">
        <v>47</v>
      </c>
      <c r="C37" s="26" t="s">
        <v>69</v>
      </c>
      <c r="D37" s="10" t="s">
        <v>70</v>
      </c>
      <c r="E37" s="10" t="s">
        <v>75</v>
      </c>
      <c r="F37" s="10" t="s">
        <v>76</v>
      </c>
      <c r="G37" s="11" t="s">
        <v>24</v>
      </c>
      <c r="H37" s="11"/>
      <c r="I37" s="10"/>
      <c r="J37" s="67" t="s">
        <v>71</v>
      </c>
      <c r="K37" s="10" t="s">
        <v>113</v>
      </c>
      <c r="L37" s="25">
        <v>-179000</v>
      </c>
      <c r="M37" s="25"/>
      <c r="N37" s="12"/>
      <c r="O37" s="12">
        <f t="shared" si="12"/>
        <v>-179000</v>
      </c>
      <c r="P37" s="12"/>
      <c r="Q37" s="12"/>
      <c r="R37" s="12"/>
      <c r="S37" s="12">
        <f t="shared" si="13"/>
        <v>-179000</v>
      </c>
      <c r="T37" s="11"/>
      <c r="U37" s="11"/>
      <c r="V37" s="11"/>
      <c r="W37" s="12">
        <f t="shared" si="10"/>
        <v>-179000</v>
      </c>
    </row>
    <row r="38" spans="1:23" s="23" customFormat="1" ht="12.45" x14ac:dyDescent="0.4">
      <c r="A38" s="9" t="s">
        <v>48</v>
      </c>
      <c r="B38" s="36"/>
      <c r="C38" s="36"/>
      <c r="D38" s="37"/>
      <c r="E38" s="37"/>
      <c r="F38" s="37"/>
      <c r="G38" s="36"/>
      <c r="H38" s="36"/>
      <c r="I38" s="37"/>
      <c r="J38" s="36"/>
      <c r="K38" s="36"/>
      <c r="L38" s="38">
        <f>+SUBTOTAL(9,L34:L37)</f>
        <v>-1245885</v>
      </c>
      <c r="M38" s="38">
        <f t="shared" ref="M38:W38" si="15">+SUBTOTAL(9,M34:M37)</f>
        <v>0</v>
      </c>
      <c r="N38" s="38">
        <f t="shared" si="15"/>
        <v>-3000000</v>
      </c>
      <c r="O38" s="38">
        <f t="shared" si="15"/>
        <v>-4245885</v>
      </c>
      <c r="P38" s="38">
        <f t="shared" si="15"/>
        <v>-65153</v>
      </c>
      <c r="Q38" s="38">
        <f t="shared" si="15"/>
        <v>0</v>
      </c>
      <c r="R38" s="38">
        <f t="shared" si="15"/>
        <v>0</v>
      </c>
      <c r="S38" s="38">
        <f t="shared" si="15"/>
        <v>-4311038</v>
      </c>
      <c r="T38" s="38">
        <f t="shared" si="15"/>
        <v>0</v>
      </c>
      <c r="U38" s="38">
        <f t="shared" si="15"/>
        <v>0</v>
      </c>
      <c r="V38" s="38">
        <f t="shared" si="15"/>
        <v>0</v>
      </c>
      <c r="W38" s="38">
        <f t="shared" si="15"/>
        <v>-4311038</v>
      </c>
    </row>
    <row r="39" spans="1:23" s="23" customFormat="1" ht="30.45" customHeight="1" x14ac:dyDescent="0.4">
      <c r="A39" s="24" t="s">
        <v>49</v>
      </c>
      <c r="B39" s="56" t="s">
        <v>50</v>
      </c>
      <c r="C39" s="11" t="s">
        <v>69</v>
      </c>
      <c r="D39" s="10" t="s">
        <v>70</v>
      </c>
      <c r="E39" s="10" t="s">
        <v>75</v>
      </c>
      <c r="F39" s="10" t="s">
        <v>76</v>
      </c>
      <c r="G39" s="22" t="s">
        <v>24</v>
      </c>
      <c r="H39" s="11"/>
      <c r="I39" s="10"/>
      <c r="J39" s="11" t="s">
        <v>71</v>
      </c>
      <c r="K39" s="10" t="s">
        <v>25</v>
      </c>
      <c r="L39" s="12">
        <v>-390000</v>
      </c>
      <c r="M39" s="12"/>
      <c r="N39" s="79"/>
      <c r="O39" s="12">
        <f t="shared" si="12"/>
        <v>-390000</v>
      </c>
      <c r="P39" s="12">
        <v>-25619</v>
      </c>
      <c r="Q39" s="79"/>
      <c r="R39" s="79"/>
      <c r="S39" s="12">
        <f t="shared" si="13"/>
        <v>-415619</v>
      </c>
      <c r="T39" s="83"/>
      <c r="U39" s="83"/>
      <c r="V39" s="83"/>
      <c r="W39" s="12">
        <f t="shared" si="10"/>
        <v>-415619</v>
      </c>
    </row>
    <row r="40" spans="1:23" s="23" customFormat="1" x14ac:dyDescent="0.4">
      <c r="A40" s="118" t="s">
        <v>51</v>
      </c>
      <c r="B40" s="119"/>
      <c r="C40" s="120"/>
      <c r="D40" s="121"/>
      <c r="E40" s="20"/>
      <c r="F40" s="20"/>
      <c r="G40" s="36"/>
      <c r="H40" s="36"/>
      <c r="I40" s="37"/>
      <c r="J40" s="36"/>
      <c r="K40" s="36"/>
      <c r="L40" s="38">
        <f>+SUBTOTAL(9,L39)</f>
        <v>-390000</v>
      </c>
      <c r="M40" s="38">
        <f t="shared" ref="M40:W40" si="16">+SUBTOTAL(9,M39)</f>
        <v>0</v>
      </c>
      <c r="N40" s="38">
        <f t="shared" si="16"/>
        <v>0</v>
      </c>
      <c r="O40" s="38">
        <f t="shared" si="16"/>
        <v>-390000</v>
      </c>
      <c r="P40" s="38">
        <f t="shared" si="16"/>
        <v>-25619</v>
      </c>
      <c r="Q40" s="38">
        <f t="shared" si="16"/>
        <v>0</v>
      </c>
      <c r="R40" s="38">
        <f t="shared" si="16"/>
        <v>0</v>
      </c>
      <c r="S40" s="38">
        <f t="shared" si="16"/>
        <v>-415619</v>
      </c>
      <c r="T40" s="38">
        <f t="shared" si="16"/>
        <v>0</v>
      </c>
      <c r="U40" s="38">
        <f t="shared" si="16"/>
        <v>0</v>
      </c>
      <c r="V40" s="38">
        <f t="shared" si="16"/>
        <v>0</v>
      </c>
      <c r="W40" s="38">
        <f t="shared" si="16"/>
        <v>-415619</v>
      </c>
    </row>
    <row r="41" spans="1:23" s="22" customFormat="1" ht="25.75" x14ac:dyDescent="0.4">
      <c r="A41" s="11" t="s">
        <v>52</v>
      </c>
      <c r="B41" s="56" t="s">
        <v>53</v>
      </c>
      <c r="C41" s="11" t="s">
        <v>35</v>
      </c>
      <c r="D41" s="10" t="s">
        <v>78</v>
      </c>
      <c r="E41" s="10" t="s">
        <v>79</v>
      </c>
      <c r="F41" s="10" t="s">
        <v>80</v>
      </c>
      <c r="G41" s="11" t="s">
        <v>24</v>
      </c>
      <c r="H41" s="11"/>
      <c r="I41" s="10"/>
      <c r="J41" s="11" t="s">
        <v>71</v>
      </c>
      <c r="K41" s="10" t="s">
        <v>25</v>
      </c>
      <c r="L41" s="25">
        <v>-360000</v>
      </c>
      <c r="M41" s="25"/>
      <c r="N41" s="12"/>
      <c r="O41" s="12">
        <f t="shared" si="12"/>
        <v>-360000</v>
      </c>
      <c r="P41" s="12"/>
      <c r="Q41" s="12"/>
      <c r="R41" s="12"/>
      <c r="S41" s="12">
        <f t="shared" si="13"/>
        <v>-360000</v>
      </c>
      <c r="T41" s="11"/>
      <c r="U41" s="11"/>
      <c r="V41" s="11"/>
      <c r="W41" s="12">
        <f t="shared" si="10"/>
        <v>-360000</v>
      </c>
    </row>
    <row r="42" spans="1:23" s="23" customFormat="1" ht="12.45" x14ac:dyDescent="0.4">
      <c r="A42" s="36" t="s">
        <v>54</v>
      </c>
      <c r="B42" s="48"/>
      <c r="C42" s="36"/>
      <c r="D42" s="37"/>
      <c r="E42" s="37"/>
      <c r="F42" s="37"/>
      <c r="G42" s="36"/>
      <c r="H42" s="36"/>
      <c r="I42" s="37"/>
      <c r="J42" s="36"/>
      <c r="K42" s="36"/>
      <c r="L42" s="49">
        <f>+SUBTOTAL(9,L41)</f>
        <v>-360000</v>
      </c>
      <c r="M42" s="49">
        <f t="shared" ref="M42:W42" si="17">+SUBTOTAL(9,M41)</f>
        <v>0</v>
      </c>
      <c r="N42" s="49">
        <f t="shared" si="17"/>
        <v>0</v>
      </c>
      <c r="O42" s="49">
        <f t="shared" si="17"/>
        <v>-360000</v>
      </c>
      <c r="P42" s="49">
        <f t="shared" si="17"/>
        <v>0</v>
      </c>
      <c r="Q42" s="49">
        <f t="shared" si="17"/>
        <v>0</v>
      </c>
      <c r="R42" s="49">
        <f t="shared" si="17"/>
        <v>0</v>
      </c>
      <c r="S42" s="49">
        <f t="shared" si="17"/>
        <v>-360000</v>
      </c>
      <c r="T42" s="49">
        <f t="shared" si="17"/>
        <v>0</v>
      </c>
      <c r="U42" s="49">
        <f t="shared" si="17"/>
        <v>0</v>
      </c>
      <c r="V42" s="49">
        <f t="shared" si="17"/>
        <v>0</v>
      </c>
      <c r="W42" s="49">
        <f t="shared" si="17"/>
        <v>-360000</v>
      </c>
    </row>
    <row r="43" spans="1:23" s="23" customFormat="1" ht="30" customHeight="1" x14ac:dyDescent="0.4">
      <c r="A43" s="26" t="s">
        <v>20</v>
      </c>
      <c r="B43" s="56" t="s">
        <v>21</v>
      </c>
      <c r="C43" s="11" t="s">
        <v>69</v>
      </c>
      <c r="D43" s="10" t="s">
        <v>70</v>
      </c>
      <c r="E43" s="10" t="s">
        <v>22</v>
      </c>
      <c r="F43" s="10" t="s">
        <v>23</v>
      </c>
      <c r="G43" s="11" t="s">
        <v>24</v>
      </c>
      <c r="H43" s="11"/>
      <c r="I43" s="10"/>
      <c r="J43" s="11" t="s">
        <v>63</v>
      </c>
      <c r="K43" s="10" t="s">
        <v>101</v>
      </c>
      <c r="L43" s="12">
        <v>-4049999.9998000003</v>
      </c>
      <c r="M43" s="12"/>
      <c r="N43" s="79"/>
      <c r="O43" s="12">
        <f t="shared" si="12"/>
        <v>-4049999.9998000003</v>
      </c>
      <c r="P43" s="102">
        <v>-2202652.61</v>
      </c>
      <c r="Q43" s="79"/>
      <c r="R43" s="79"/>
      <c r="S43" s="12">
        <f t="shared" si="13"/>
        <v>-6252652.6097999997</v>
      </c>
      <c r="T43" s="83"/>
      <c r="U43" s="83"/>
      <c r="V43" s="83"/>
      <c r="W43" s="12">
        <f t="shared" si="10"/>
        <v>-6252652.6097999997</v>
      </c>
    </row>
    <row r="44" spans="1:23" s="22" customFormat="1" ht="29.15" customHeight="1" x14ac:dyDescent="0.4">
      <c r="A44" s="44"/>
      <c r="B44" s="56" t="s">
        <v>21</v>
      </c>
      <c r="C44" s="11" t="s">
        <v>69</v>
      </c>
      <c r="D44" s="10" t="s">
        <v>70</v>
      </c>
      <c r="E44" s="10" t="s">
        <v>22</v>
      </c>
      <c r="F44" s="10" t="s">
        <v>23</v>
      </c>
      <c r="G44" s="11" t="s">
        <v>24</v>
      </c>
      <c r="H44" s="11"/>
      <c r="I44" s="10"/>
      <c r="J44" s="11" t="s">
        <v>71</v>
      </c>
      <c r="K44" s="10" t="s">
        <v>25</v>
      </c>
      <c r="L44" s="12">
        <v>-1000000</v>
      </c>
      <c r="M44" s="12"/>
      <c r="N44" s="12"/>
      <c r="O44" s="12">
        <f t="shared" si="12"/>
        <v>-1000000</v>
      </c>
      <c r="P44" s="12"/>
      <c r="Q44" s="12"/>
      <c r="R44" s="12"/>
      <c r="S44" s="12">
        <f t="shared" si="13"/>
        <v>-1000000</v>
      </c>
      <c r="T44" s="11"/>
      <c r="U44" s="11"/>
      <c r="V44" s="11"/>
      <c r="W44" s="12">
        <f t="shared" si="10"/>
        <v>-1000000</v>
      </c>
    </row>
    <row r="45" spans="1:23" s="23" customFormat="1" ht="12.45" x14ac:dyDescent="0.4">
      <c r="A45" s="45" t="s">
        <v>26</v>
      </c>
      <c r="B45" s="43"/>
      <c r="C45" s="36"/>
      <c r="D45" s="37"/>
      <c r="E45" s="37"/>
      <c r="F45" s="37"/>
      <c r="G45" s="36"/>
      <c r="H45" s="36"/>
      <c r="I45" s="37"/>
      <c r="J45" s="36"/>
      <c r="K45" s="36"/>
      <c r="L45" s="38">
        <f>+SUBTOTAL(9,L43:L44)</f>
        <v>-5049999.9998000003</v>
      </c>
      <c r="M45" s="38">
        <f t="shared" ref="M45:W45" si="18">+SUBTOTAL(9,M43:M44)</f>
        <v>0</v>
      </c>
      <c r="N45" s="38">
        <f t="shared" si="18"/>
        <v>0</v>
      </c>
      <c r="O45" s="38">
        <f t="shared" si="18"/>
        <v>-5049999.9998000003</v>
      </c>
      <c r="P45" s="38">
        <f t="shared" si="18"/>
        <v>-2202652.61</v>
      </c>
      <c r="Q45" s="38">
        <f t="shared" si="18"/>
        <v>0</v>
      </c>
      <c r="R45" s="38">
        <f t="shared" si="18"/>
        <v>0</v>
      </c>
      <c r="S45" s="38">
        <f t="shared" si="18"/>
        <v>-7252652.6097999997</v>
      </c>
      <c r="T45" s="38">
        <f t="shared" si="18"/>
        <v>0</v>
      </c>
      <c r="U45" s="38">
        <f t="shared" si="18"/>
        <v>0</v>
      </c>
      <c r="V45" s="38">
        <f t="shared" si="18"/>
        <v>0</v>
      </c>
      <c r="W45" s="38">
        <f t="shared" si="18"/>
        <v>-7252652.6097999997</v>
      </c>
    </row>
    <row r="46" spans="1:23" s="23" customFormat="1" ht="25.75" x14ac:dyDescent="0.4">
      <c r="A46" s="87" t="s">
        <v>117</v>
      </c>
      <c r="B46" s="90" t="s">
        <v>118</v>
      </c>
      <c r="C46" s="11" t="s">
        <v>27</v>
      </c>
      <c r="D46" s="24" t="s">
        <v>72</v>
      </c>
      <c r="E46" s="22" t="s">
        <v>73</v>
      </c>
      <c r="F46" s="10" t="s">
        <v>74</v>
      </c>
      <c r="G46" s="11" t="s">
        <v>24</v>
      </c>
      <c r="H46" s="83"/>
      <c r="I46" s="83"/>
      <c r="J46" s="26" t="s">
        <v>63</v>
      </c>
      <c r="K46" s="10" t="s">
        <v>120</v>
      </c>
      <c r="L46" s="12">
        <v>0</v>
      </c>
      <c r="M46" s="12"/>
      <c r="N46" s="12">
        <v>-4000000</v>
      </c>
      <c r="O46" s="12">
        <f t="shared" si="12"/>
        <v>-4000000</v>
      </c>
      <c r="P46" s="79"/>
      <c r="Q46" s="79"/>
      <c r="R46" s="79"/>
      <c r="S46" s="12">
        <f t="shared" si="13"/>
        <v>-4000000</v>
      </c>
      <c r="T46" s="83"/>
      <c r="U46" s="83"/>
      <c r="V46" s="83"/>
      <c r="W46" s="12">
        <f t="shared" si="10"/>
        <v>-4000000</v>
      </c>
    </row>
    <row r="47" spans="1:23" s="23" customFormat="1" ht="12.45" x14ac:dyDescent="0.4">
      <c r="A47" s="88" t="s">
        <v>119</v>
      </c>
      <c r="B47" s="89"/>
      <c r="C47" s="36"/>
      <c r="D47" s="37"/>
      <c r="E47" s="37"/>
      <c r="F47" s="37"/>
      <c r="G47" s="36"/>
      <c r="H47" s="36"/>
      <c r="I47" s="36"/>
      <c r="J47" s="36"/>
      <c r="K47" s="36"/>
      <c r="L47" s="38">
        <f>+SUBTOTAL(9,L46)</f>
        <v>0</v>
      </c>
      <c r="M47" s="38">
        <f t="shared" ref="M47:W47" si="19">+SUBTOTAL(9,M46)</f>
        <v>0</v>
      </c>
      <c r="N47" s="38">
        <f t="shared" si="19"/>
        <v>-4000000</v>
      </c>
      <c r="O47" s="38">
        <f t="shared" si="19"/>
        <v>-4000000</v>
      </c>
      <c r="P47" s="38">
        <f t="shared" si="19"/>
        <v>0</v>
      </c>
      <c r="Q47" s="38">
        <f t="shared" si="19"/>
        <v>0</v>
      </c>
      <c r="R47" s="38">
        <f t="shared" si="19"/>
        <v>0</v>
      </c>
      <c r="S47" s="38">
        <f t="shared" si="19"/>
        <v>-4000000</v>
      </c>
      <c r="T47" s="38">
        <f t="shared" si="19"/>
        <v>0</v>
      </c>
      <c r="U47" s="38">
        <f t="shared" si="19"/>
        <v>0</v>
      </c>
      <c r="V47" s="38">
        <f t="shared" si="19"/>
        <v>0</v>
      </c>
      <c r="W47" s="38">
        <f t="shared" si="19"/>
        <v>-4000000</v>
      </c>
    </row>
    <row r="48" spans="1:23" s="23" customFormat="1" ht="40.4" customHeight="1" x14ac:dyDescent="0.4">
      <c r="A48" s="11" t="s">
        <v>121</v>
      </c>
      <c r="B48" s="93" t="s">
        <v>123</v>
      </c>
      <c r="C48" s="11" t="s">
        <v>27</v>
      </c>
      <c r="D48" s="24" t="s">
        <v>72</v>
      </c>
      <c r="E48" s="22" t="s">
        <v>73</v>
      </c>
      <c r="F48" s="10" t="s">
        <v>74</v>
      </c>
      <c r="G48" s="11" t="s">
        <v>24</v>
      </c>
      <c r="H48" s="83"/>
      <c r="I48" s="83"/>
      <c r="J48" s="26" t="s">
        <v>63</v>
      </c>
      <c r="K48" s="10" t="s">
        <v>124</v>
      </c>
      <c r="L48" s="12">
        <v>0</v>
      </c>
      <c r="M48" s="12"/>
      <c r="N48" s="12">
        <v>-900000</v>
      </c>
      <c r="O48" s="12">
        <f t="shared" si="12"/>
        <v>-900000</v>
      </c>
      <c r="P48" s="12">
        <v>-512813.77</v>
      </c>
      <c r="Q48" s="79"/>
      <c r="R48" s="79"/>
      <c r="S48" s="12">
        <f t="shared" si="13"/>
        <v>-1412813.77</v>
      </c>
      <c r="T48" s="83"/>
      <c r="U48" s="83"/>
      <c r="V48" s="83"/>
      <c r="W48" s="12">
        <f t="shared" si="10"/>
        <v>-1412813.77</v>
      </c>
    </row>
    <row r="49" spans="1:23" s="23" customFormat="1" ht="40.4" customHeight="1" x14ac:dyDescent="0.4">
      <c r="A49" s="11"/>
      <c r="B49" s="103"/>
      <c r="C49" s="11" t="s">
        <v>27</v>
      </c>
      <c r="D49" s="24" t="s">
        <v>72</v>
      </c>
      <c r="E49" s="22" t="s">
        <v>151</v>
      </c>
      <c r="F49" s="10" t="s">
        <v>74</v>
      </c>
      <c r="G49" s="11" t="s">
        <v>24</v>
      </c>
      <c r="H49" s="83"/>
      <c r="I49" s="83"/>
      <c r="J49" s="26" t="s">
        <v>63</v>
      </c>
      <c r="K49" s="10" t="s">
        <v>152</v>
      </c>
      <c r="L49" s="12"/>
      <c r="M49" s="12"/>
      <c r="N49" s="12"/>
      <c r="O49" s="12">
        <f t="shared" si="12"/>
        <v>0</v>
      </c>
      <c r="P49" s="12">
        <v>-23978.9</v>
      </c>
      <c r="Q49" s="79"/>
      <c r="R49" s="12">
        <v>-89585</v>
      </c>
      <c r="S49" s="12">
        <f t="shared" si="13"/>
        <v>-113563.9</v>
      </c>
      <c r="T49" s="83"/>
      <c r="U49" s="83"/>
      <c r="V49" s="83"/>
      <c r="W49" s="12">
        <f t="shared" si="10"/>
        <v>-113563.9</v>
      </c>
    </row>
    <row r="50" spans="1:23" s="23" customFormat="1" ht="12.45" x14ac:dyDescent="0.4">
      <c r="A50" s="92" t="s">
        <v>122</v>
      </c>
      <c r="B50" s="89"/>
      <c r="C50" s="36"/>
      <c r="D50" s="37"/>
      <c r="E50" s="37"/>
      <c r="F50" s="37"/>
      <c r="G50" s="36"/>
      <c r="H50" s="36"/>
      <c r="I50" s="36"/>
      <c r="J50" s="36"/>
      <c r="K50" s="36"/>
      <c r="L50" s="38">
        <f>+SUBTOTAL(9,L48)</f>
        <v>0</v>
      </c>
      <c r="M50" s="38">
        <f t="shared" ref="M50:N50" si="20">+SUBTOTAL(9,M48)</f>
        <v>0</v>
      </c>
      <c r="N50" s="38">
        <f t="shared" si="20"/>
        <v>-900000</v>
      </c>
      <c r="O50" s="38">
        <f>+SUBTOTAL(9,O48:O49)</f>
        <v>-900000</v>
      </c>
      <c r="P50" s="38">
        <f t="shared" ref="P50:W50" si="21">+SUBTOTAL(9,P48:P49)</f>
        <v>-536792.67000000004</v>
      </c>
      <c r="Q50" s="38">
        <f t="shared" si="21"/>
        <v>0</v>
      </c>
      <c r="R50" s="38">
        <f t="shared" si="21"/>
        <v>-89585</v>
      </c>
      <c r="S50" s="38">
        <f t="shared" si="21"/>
        <v>-1526377.67</v>
      </c>
      <c r="T50" s="38">
        <f t="shared" si="21"/>
        <v>0</v>
      </c>
      <c r="U50" s="38">
        <f t="shared" si="21"/>
        <v>0</v>
      </c>
      <c r="V50" s="38">
        <f t="shared" si="21"/>
        <v>0</v>
      </c>
      <c r="W50" s="38">
        <f t="shared" si="21"/>
        <v>-1526377.67</v>
      </c>
    </row>
    <row r="51" spans="1:23" s="22" customFormat="1" ht="38.6" x14ac:dyDescent="0.4">
      <c r="A51" s="11" t="s">
        <v>125</v>
      </c>
      <c r="B51" s="94" t="s">
        <v>127</v>
      </c>
      <c r="C51" s="11" t="s">
        <v>27</v>
      </c>
      <c r="D51" s="24" t="s">
        <v>72</v>
      </c>
      <c r="E51" s="22" t="s">
        <v>73</v>
      </c>
      <c r="F51" s="10" t="s">
        <v>74</v>
      </c>
      <c r="G51" s="11" t="s">
        <v>24</v>
      </c>
      <c r="H51" s="83"/>
      <c r="I51" s="83"/>
      <c r="J51" s="26" t="s">
        <v>63</v>
      </c>
      <c r="K51" s="24" t="s">
        <v>128</v>
      </c>
      <c r="L51" s="12">
        <v>0</v>
      </c>
      <c r="M51" s="12"/>
      <c r="N51" s="12">
        <v>-270000</v>
      </c>
      <c r="O51" s="12">
        <f t="shared" si="12"/>
        <v>-270000</v>
      </c>
      <c r="P51" s="12">
        <v>-175191.44</v>
      </c>
      <c r="Q51" s="12"/>
      <c r="R51" s="12"/>
      <c r="S51" s="12">
        <f t="shared" si="13"/>
        <v>-445191.44</v>
      </c>
      <c r="T51" s="11"/>
      <c r="U51" s="11"/>
      <c r="V51" s="11"/>
      <c r="W51" s="12">
        <f t="shared" si="10"/>
        <v>-445191.44</v>
      </c>
    </row>
    <row r="52" spans="1:23" s="22" customFormat="1" ht="25.75" x14ac:dyDescent="0.4">
      <c r="A52" s="11"/>
      <c r="B52" s="94"/>
      <c r="C52" s="11" t="s">
        <v>160</v>
      </c>
      <c r="D52" s="10" t="s">
        <v>161</v>
      </c>
      <c r="E52" s="11" t="s">
        <v>24</v>
      </c>
      <c r="F52" s="10"/>
      <c r="G52" s="11" t="s">
        <v>24</v>
      </c>
      <c r="H52" s="83"/>
      <c r="I52" s="83"/>
      <c r="J52" s="26" t="s">
        <v>63</v>
      </c>
      <c r="K52" s="24" t="s">
        <v>162</v>
      </c>
      <c r="L52" s="12"/>
      <c r="M52" s="12"/>
      <c r="N52" s="12"/>
      <c r="O52" s="12">
        <f t="shared" si="12"/>
        <v>0</v>
      </c>
      <c r="P52" s="12"/>
      <c r="Q52" s="12"/>
      <c r="R52" s="12">
        <v>-5000</v>
      </c>
      <c r="S52" s="12">
        <f t="shared" si="13"/>
        <v>-5000</v>
      </c>
      <c r="T52" s="11"/>
      <c r="U52" s="11"/>
      <c r="V52" s="11"/>
      <c r="W52" s="12">
        <f t="shared" si="10"/>
        <v>-5000</v>
      </c>
    </row>
    <row r="53" spans="1:23" s="23" customFormat="1" ht="12.45" x14ac:dyDescent="0.4">
      <c r="A53" s="61" t="s">
        <v>126</v>
      </c>
      <c r="B53" s="92"/>
      <c r="C53" s="36"/>
      <c r="D53" s="37"/>
      <c r="E53" s="37"/>
      <c r="F53" s="37"/>
      <c r="G53" s="36"/>
      <c r="H53" s="36"/>
      <c r="I53" s="36"/>
      <c r="J53" s="36"/>
      <c r="K53" s="36"/>
      <c r="L53" s="38">
        <f>+SUBTOTAL(9,L51)</f>
        <v>0</v>
      </c>
      <c r="M53" s="38">
        <f t="shared" ref="M53:N53" si="22">+SUBTOTAL(9,M51)</f>
        <v>0</v>
      </c>
      <c r="N53" s="38">
        <f t="shared" si="22"/>
        <v>-270000</v>
      </c>
      <c r="O53" s="38">
        <f>+SUBTOTAL(9,O51:O52)</f>
        <v>-270000</v>
      </c>
      <c r="P53" s="38">
        <f t="shared" ref="P53:W53" si="23">+SUBTOTAL(9,P51:P52)</f>
        <v>-175191.44</v>
      </c>
      <c r="Q53" s="38">
        <f t="shared" si="23"/>
        <v>0</v>
      </c>
      <c r="R53" s="38">
        <f t="shared" si="23"/>
        <v>-5000</v>
      </c>
      <c r="S53" s="38">
        <f t="shared" si="23"/>
        <v>-450191.44</v>
      </c>
      <c r="T53" s="38">
        <f t="shared" si="23"/>
        <v>0</v>
      </c>
      <c r="U53" s="38">
        <f t="shared" si="23"/>
        <v>0</v>
      </c>
      <c r="V53" s="38">
        <f t="shared" si="23"/>
        <v>0</v>
      </c>
      <c r="W53" s="38">
        <f t="shared" si="23"/>
        <v>-450191.44</v>
      </c>
    </row>
    <row r="54" spans="1:23" s="23" customFormat="1" ht="25.75" x14ac:dyDescent="0.4">
      <c r="A54" s="95" t="s">
        <v>129</v>
      </c>
      <c r="B54" s="94" t="s">
        <v>130</v>
      </c>
      <c r="C54" s="11" t="s">
        <v>27</v>
      </c>
      <c r="D54" s="24" t="s">
        <v>72</v>
      </c>
      <c r="E54" s="11" t="s">
        <v>73</v>
      </c>
      <c r="F54" s="10" t="s">
        <v>74</v>
      </c>
      <c r="G54" s="11" t="s">
        <v>24</v>
      </c>
      <c r="H54" s="83"/>
      <c r="I54" s="83"/>
      <c r="J54" s="26" t="s">
        <v>63</v>
      </c>
      <c r="K54" s="24" t="s">
        <v>133</v>
      </c>
      <c r="L54" s="12">
        <v>0</v>
      </c>
      <c r="M54" s="12"/>
      <c r="N54" s="12">
        <v>-609000</v>
      </c>
      <c r="O54" s="12">
        <f t="shared" si="12"/>
        <v>-609000</v>
      </c>
      <c r="P54" s="79"/>
      <c r="Q54" s="79"/>
      <c r="R54" s="79"/>
      <c r="S54" s="12">
        <f t="shared" si="13"/>
        <v>-609000</v>
      </c>
      <c r="T54" s="83"/>
      <c r="U54" s="83"/>
      <c r="V54" s="83"/>
      <c r="W54" s="12">
        <f t="shared" si="10"/>
        <v>-609000</v>
      </c>
    </row>
    <row r="55" spans="1:23" s="23" customFormat="1" ht="38.6" x14ac:dyDescent="0.4">
      <c r="A55" s="83"/>
      <c r="B55" s="94" t="s">
        <v>131</v>
      </c>
      <c r="C55" s="11" t="s">
        <v>27</v>
      </c>
      <c r="D55" s="24" t="s">
        <v>72</v>
      </c>
      <c r="E55" s="11" t="s">
        <v>73</v>
      </c>
      <c r="F55" s="10" t="s">
        <v>74</v>
      </c>
      <c r="G55" s="11" t="s">
        <v>24</v>
      </c>
      <c r="H55" s="83"/>
      <c r="I55" s="83"/>
      <c r="J55" s="26" t="s">
        <v>63</v>
      </c>
      <c r="K55" s="24" t="s">
        <v>128</v>
      </c>
      <c r="L55" s="12">
        <v>0</v>
      </c>
      <c r="M55" s="12"/>
      <c r="N55" s="12">
        <f>-630500+75000</f>
        <v>-555500</v>
      </c>
      <c r="O55" s="12">
        <f t="shared" si="12"/>
        <v>-555500</v>
      </c>
      <c r="P55" s="12">
        <v>-117182.12</v>
      </c>
      <c r="Q55" s="79"/>
      <c r="R55" s="79"/>
      <c r="S55" s="12">
        <f t="shared" si="13"/>
        <v>-672682.12</v>
      </c>
      <c r="T55" s="83"/>
      <c r="U55" s="83"/>
      <c r="V55" s="83"/>
      <c r="W55" s="12">
        <f t="shared" si="10"/>
        <v>-672682.12</v>
      </c>
    </row>
    <row r="56" spans="1:23" s="23" customFormat="1" ht="25.75" x14ac:dyDescent="0.4">
      <c r="A56" s="83"/>
      <c r="B56" s="94"/>
      <c r="C56" s="11" t="s">
        <v>27</v>
      </c>
      <c r="D56" s="24" t="s">
        <v>72</v>
      </c>
      <c r="E56" s="11" t="s">
        <v>73</v>
      </c>
      <c r="F56" s="10" t="s">
        <v>74</v>
      </c>
      <c r="G56" s="11" t="s">
        <v>24</v>
      </c>
      <c r="H56" s="83"/>
      <c r="I56" s="83"/>
      <c r="J56" s="26" t="s">
        <v>63</v>
      </c>
      <c r="K56" s="24" t="s">
        <v>153</v>
      </c>
      <c r="L56" s="12"/>
      <c r="M56" s="12"/>
      <c r="N56" s="12"/>
      <c r="O56" s="12">
        <f t="shared" si="12"/>
        <v>0</v>
      </c>
      <c r="P56" s="12">
        <v>-19120.02</v>
      </c>
      <c r="Q56" s="79"/>
      <c r="R56" s="79"/>
      <c r="S56" s="12">
        <f t="shared" si="13"/>
        <v>-19120.02</v>
      </c>
      <c r="T56" s="83"/>
      <c r="U56" s="83"/>
      <c r="V56" s="83"/>
      <c r="W56" s="12">
        <f t="shared" si="10"/>
        <v>-19120.02</v>
      </c>
    </row>
    <row r="57" spans="1:23" s="23" customFormat="1" ht="12.45" x14ac:dyDescent="0.4">
      <c r="A57" s="9" t="s">
        <v>132</v>
      </c>
      <c r="B57" s="92"/>
      <c r="C57" s="36"/>
      <c r="D57" s="37"/>
      <c r="E57" s="37"/>
      <c r="F57" s="37"/>
      <c r="G57" s="36"/>
      <c r="H57" s="36"/>
      <c r="I57" s="36"/>
      <c r="J57" s="36"/>
      <c r="K57" s="36"/>
      <c r="L57" s="38">
        <f>+SUBTOTAL(9,L54:L55)</f>
        <v>0</v>
      </c>
      <c r="M57" s="38">
        <f t="shared" ref="M57:N57" si="24">+SUBTOTAL(9,M54:M55)</f>
        <v>0</v>
      </c>
      <c r="N57" s="38">
        <f t="shared" si="24"/>
        <v>-1164500</v>
      </c>
      <c r="O57" s="38">
        <f>+SUBTOTAL(9,O54:O56)</f>
        <v>-1164500</v>
      </c>
      <c r="P57" s="38">
        <f t="shared" ref="P57:W57" si="25">+SUBTOTAL(9,P54:P56)</f>
        <v>-136302.13999999998</v>
      </c>
      <c r="Q57" s="38">
        <f t="shared" si="25"/>
        <v>0</v>
      </c>
      <c r="R57" s="38">
        <f t="shared" si="25"/>
        <v>0</v>
      </c>
      <c r="S57" s="38">
        <f t="shared" si="25"/>
        <v>-1300802.1400000001</v>
      </c>
      <c r="T57" s="38">
        <f t="shared" si="25"/>
        <v>0</v>
      </c>
      <c r="U57" s="38">
        <f t="shared" si="25"/>
        <v>0</v>
      </c>
      <c r="V57" s="38">
        <f t="shared" si="25"/>
        <v>0</v>
      </c>
      <c r="W57" s="38">
        <f t="shared" si="25"/>
        <v>-1300802.1400000001</v>
      </c>
    </row>
    <row r="58" spans="1:23" s="23" customFormat="1" ht="38.6" x14ac:dyDescent="0.4">
      <c r="A58" s="11" t="s">
        <v>134</v>
      </c>
      <c r="B58" s="94" t="s">
        <v>131</v>
      </c>
      <c r="C58" s="11" t="s">
        <v>27</v>
      </c>
      <c r="D58" s="24" t="s">
        <v>72</v>
      </c>
      <c r="E58" s="11" t="s">
        <v>73</v>
      </c>
      <c r="F58" s="10" t="s">
        <v>74</v>
      </c>
      <c r="G58" s="11" t="s">
        <v>24</v>
      </c>
      <c r="H58" s="83"/>
      <c r="I58" s="83"/>
      <c r="J58" s="26" t="s">
        <v>63</v>
      </c>
      <c r="K58" s="24" t="s">
        <v>128</v>
      </c>
      <c r="L58" s="12">
        <v>0</v>
      </c>
      <c r="M58" s="12"/>
      <c r="N58" s="12">
        <v>-75000</v>
      </c>
      <c r="O58" s="12">
        <f t="shared" si="12"/>
        <v>-75000</v>
      </c>
      <c r="P58" s="79"/>
      <c r="Q58" s="79"/>
      <c r="R58" s="79"/>
      <c r="S58" s="12">
        <f t="shared" si="13"/>
        <v>-75000</v>
      </c>
      <c r="T58" s="83"/>
      <c r="U58" s="83"/>
      <c r="V58" s="83"/>
      <c r="W58" s="12">
        <f t="shared" si="10"/>
        <v>-75000</v>
      </c>
    </row>
    <row r="59" spans="1:23" s="23" customFormat="1" ht="12.45" x14ac:dyDescent="0.3">
      <c r="A59" s="96" t="s">
        <v>135</v>
      </c>
      <c r="B59" s="92"/>
      <c r="C59" s="36"/>
      <c r="D59" s="37"/>
      <c r="E59" s="37"/>
      <c r="F59" s="37"/>
      <c r="G59" s="36"/>
      <c r="H59" s="36"/>
      <c r="I59" s="36"/>
      <c r="J59" s="36"/>
      <c r="K59" s="36"/>
      <c r="L59" s="38">
        <f>+SUBTOTAL(9,L58)</f>
        <v>0</v>
      </c>
      <c r="M59" s="38">
        <f t="shared" ref="M59:W59" si="26">+SUBTOTAL(9,M58)</f>
        <v>0</v>
      </c>
      <c r="N59" s="38">
        <f t="shared" si="26"/>
        <v>-75000</v>
      </c>
      <c r="O59" s="38">
        <f t="shared" si="26"/>
        <v>-75000</v>
      </c>
      <c r="P59" s="38">
        <f t="shared" si="26"/>
        <v>0</v>
      </c>
      <c r="Q59" s="38">
        <f t="shared" si="26"/>
        <v>0</v>
      </c>
      <c r="R59" s="38">
        <f t="shared" si="26"/>
        <v>0</v>
      </c>
      <c r="S59" s="38">
        <f t="shared" si="26"/>
        <v>-75000</v>
      </c>
      <c r="T59" s="38">
        <f t="shared" si="26"/>
        <v>0</v>
      </c>
      <c r="U59" s="38">
        <f t="shared" si="26"/>
        <v>0</v>
      </c>
      <c r="V59" s="38">
        <f t="shared" si="26"/>
        <v>0</v>
      </c>
      <c r="W59" s="38">
        <f t="shared" si="26"/>
        <v>-75000</v>
      </c>
    </row>
    <row r="60" spans="1:23" s="23" customFormat="1" ht="38.6" x14ac:dyDescent="0.4">
      <c r="A60" s="24" t="s">
        <v>154</v>
      </c>
      <c r="B60" s="104" t="s">
        <v>155</v>
      </c>
      <c r="C60" s="11" t="s">
        <v>27</v>
      </c>
      <c r="D60" s="24" t="s">
        <v>72</v>
      </c>
      <c r="E60" s="10" t="s">
        <v>156</v>
      </c>
      <c r="F60" s="10" t="s">
        <v>157</v>
      </c>
      <c r="G60" s="11" t="s">
        <v>24</v>
      </c>
      <c r="H60" s="83"/>
      <c r="I60" s="83"/>
      <c r="J60" s="26" t="s">
        <v>63</v>
      </c>
      <c r="K60" s="24" t="s">
        <v>159</v>
      </c>
      <c r="L60" s="79"/>
      <c r="M60" s="79"/>
      <c r="N60" s="79"/>
      <c r="O60" s="12">
        <v>0</v>
      </c>
      <c r="P60" s="12">
        <v>-999299.96</v>
      </c>
      <c r="Q60" s="79"/>
      <c r="R60" s="79"/>
      <c r="S60" s="12">
        <f>+O60+P60+Q60+R60</f>
        <v>-999299.96</v>
      </c>
      <c r="T60" s="83"/>
      <c r="U60" s="83"/>
      <c r="V60" s="83"/>
      <c r="W60" s="12">
        <f t="shared" si="10"/>
        <v>-999299.96</v>
      </c>
    </row>
    <row r="61" spans="1:23" s="23" customFormat="1" ht="38.6" x14ac:dyDescent="0.4">
      <c r="A61" s="24"/>
      <c r="B61" s="104"/>
      <c r="C61" s="11" t="s">
        <v>27</v>
      </c>
      <c r="D61" s="24" t="s">
        <v>72</v>
      </c>
      <c r="E61" s="10"/>
      <c r="F61" s="10"/>
      <c r="G61" s="11" t="s">
        <v>24</v>
      </c>
      <c r="H61" s="83"/>
      <c r="I61" s="83"/>
      <c r="J61" s="26" t="s">
        <v>63</v>
      </c>
      <c r="K61" s="52" t="s">
        <v>164</v>
      </c>
      <c r="L61" s="79"/>
      <c r="M61" s="79"/>
      <c r="N61" s="79"/>
      <c r="O61" s="12">
        <v>0</v>
      </c>
      <c r="P61" s="79"/>
      <c r="Q61" s="79"/>
      <c r="R61" s="12">
        <v>-2000</v>
      </c>
      <c r="S61" s="12">
        <f>+O61+P61+Q61+R61</f>
        <v>-2000</v>
      </c>
      <c r="T61" s="83"/>
      <c r="U61" s="83"/>
      <c r="V61" s="83"/>
      <c r="W61" s="12">
        <f t="shared" si="10"/>
        <v>-2000</v>
      </c>
    </row>
    <row r="62" spans="1:23" s="23" customFormat="1" ht="12.45" x14ac:dyDescent="0.4">
      <c r="A62" s="105" t="s">
        <v>158</v>
      </c>
      <c r="B62" s="106"/>
      <c r="C62" s="105"/>
      <c r="D62" s="20"/>
      <c r="E62" s="20"/>
      <c r="F62" s="20"/>
      <c r="G62" s="105"/>
      <c r="H62" s="105"/>
      <c r="I62" s="105"/>
      <c r="J62" s="105"/>
      <c r="K62" s="105"/>
      <c r="L62" s="105"/>
      <c r="M62" s="105"/>
      <c r="N62" s="105"/>
      <c r="O62" s="107">
        <f>+SUBTOTAL(9,O60:O61)</f>
        <v>0</v>
      </c>
      <c r="P62" s="107">
        <f t="shared" ref="P62:W62" si="27">+SUBTOTAL(9,P60:P61)</f>
        <v>-999299.96</v>
      </c>
      <c r="Q62" s="107">
        <f t="shared" si="27"/>
        <v>0</v>
      </c>
      <c r="R62" s="107">
        <f t="shared" si="27"/>
        <v>-2000</v>
      </c>
      <c r="S62" s="107">
        <f t="shared" si="27"/>
        <v>-1001299.96</v>
      </c>
      <c r="T62" s="107">
        <f t="shared" si="27"/>
        <v>0</v>
      </c>
      <c r="U62" s="107">
        <f t="shared" si="27"/>
        <v>0</v>
      </c>
      <c r="V62" s="107">
        <f t="shared" si="27"/>
        <v>0</v>
      </c>
      <c r="W62" s="107">
        <f t="shared" si="27"/>
        <v>-1001299.96</v>
      </c>
    </row>
    <row r="63" spans="1:23" s="23" customFormat="1" ht="42.45" customHeight="1" x14ac:dyDescent="0.4">
      <c r="A63" s="81"/>
      <c r="B63" s="82"/>
      <c r="C63" s="11" t="s">
        <v>35</v>
      </c>
      <c r="D63" s="10" t="s">
        <v>78</v>
      </c>
      <c r="E63" s="10"/>
      <c r="F63" s="10"/>
      <c r="G63" s="11" t="s">
        <v>24</v>
      </c>
      <c r="H63" s="83"/>
      <c r="I63" s="84"/>
      <c r="J63" s="11" t="s">
        <v>63</v>
      </c>
      <c r="K63" s="24" t="s">
        <v>116</v>
      </c>
      <c r="L63" s="12">
        <f>-138000-1500000</f>
        <v>-1638000</v>
      </c>
      <c r="M63" s="12"/>
      <c r="N63" s="79"/>
      <c r="O63" s="12">
        <f t="shared" si="12"/>
        <v>-1638000</v>
      </c>
      <c r="P63" s="12">
        <v>-846141.55036907119</v>
      </c>
      <c r="Q63" s="79"/>
      <c r="R63" s="79"/>
      <c r="S63" s="12">
        <f t="shared" si="13"/>
        <v>-2484141.5503690713</v>
      </c>
      <c r="T63" s="12">
        <v>800000</v>
      </c>
      <c r="U63" s="12">
        <v>1400000</v>
      </c>
      <c r="V63" s="12">
        <v>100000</v>
      </c>
      <c r="W63" s="12">
        <f t="shared" si="10"/>
        <v>-184141.55036907131</v>
      </c>
    </row>
    <row r="64" spans="1:23" s="23" customFormat="1" ht="12.45" x14ac:dyDescent="0.4">
      <c r="A64" s="85" t="s">
        <v>109</v>
      </c>
      <c r="B64" s="86"/>
      <c r="C64" s="61"/>
      <c r="D64" s="64"/>
      <c r="E64" s="64"/>
      <c r="F64" s="64"/>
      <c r="G64" s="61"/>
      <c r="H64" s="61"/>
      <c r="I64" s="64"/>
      <c r="J64" s="61"/>
      <c r="K64" s="61"/>
      <c r="L64" s="66">
        <f>+SUBTOTAL(9,L63)</f>
        <v>-1638000</v>
      </c>
      <c r="M64" s="66">
        <f t="shared" ref="M64:W64" si="28">+SUBTOTAL(9,M63)</f>
        <v>0</v>
      </c>
      <c r="N64" s="66">
        <f t="shared" si="28"/>
        <v>0</v>
      </c>
      <c r="O64" s="66">
        <f t="shared" si="28"/>
        <v>-1638000</v>
      </c>
      <c r="P64" s="66">
        <f t="shared" si="28"/>
        <v>-846141.55036907119</v>
      </c>
      <c r="Q64" s="66">
        <f t="shared" si="28"/>
        <v>0</v>
      </c>
      <c r="R64" s="66">
        <f t="shared" si="28"/>
        <v>0</v>
      </c>
      <c r="S64" s="66">
        <f t="shared" si="28"/>
        <v>-2484141.5503690713</v>
      </c>
      <c r="T64" s="66">
        <f t="shared" si="28"/>
        <v>800000</v>
      </c>
      <c r="U64" s="66">
        <f t="shared" si="28"/>
        <v>1400000</v>
      </c>
      <c r="V64" s="66">
        <f t="shared" si="28"/>
        <v>100000</v>
      </c>
      <c r="W64" s="66">
        <f t="shared" si="28"/>
        <v>-184141.55036907131</v>
      </c>
    </row>
    <row r="65" spans="1:23" s="31" customFormat="1" ht="46.3" x14ac:dyDescent="0.4">
      <c r="A65" s="26"/>
      <c r="B65" s="59" t="s">
        <v>95</v>
      </c>
      <c r="C65" s="26" t="s">
        <v>27</v>
      </c>
      <c r="D65" s="24" t="s">
        <v>72</v>
      </c>
      <c r="E65" s="24" t="s">
        <v>73</v>
      </c>
      <c r="F65" s="24" t="s">
        <v>74</v>
      </c>
      <c r="G65" s="26" t="s">
        <v>24</v>
      </c>
      <c r="H65" s="26"/>
      <c r="I65" s="24"/>
      <c r="J65" s="26" t="s">
        <v>63</v>
      </c>
      <c r="K65" s="24" t="s">
        <v>116</v>
      </c>
      <c r="L65" s="91">
        <f>-7756718.099876-500000-36127947-14920000+138000-1059923-138288</f>
        <v>-60364876.099876001</v>
      </c>
      <c r="M65" s="91"/>
      <c r="N65" s="25">
        <f>4000000+900000+270000+609000+555500+75000+50826233</f>
        <v>57235733</v>
      </c>
      <c r="O65" s="12">
        <f t="shared" si="12"/>
        <v>-3129143.0998760015</v>
      </c>
      <c r="P65" s="25">
        <f>-23995743.1241341+297491</f>
        <v>-23698252.124134101</v>
      </c>
      <c r="Q65" s="25">
        <v>-150000</v>
      </c>
      <c r="R65" s="25">
        <f>2000+89585</f>
        <v>91585</v>
      </c>
      <c r="S65" s="12">
        <f t="shared" si="13"/>
        <v>-26885810.224010102</v>
      </c>
      <c r="T65" s="26"/>
      <c r="U65" s="25">
        <v>3187558</v>
      </c>
      <c r="V65" s="25">
        <v>23698252.224010099</v>
      </c>
      <c r="W65" s="12">
        <f t="shared" si="10"/>
        <v>0</v>
      </c>
    </row>
    <row r="66" spans="1:23" s="22" customFormat="1" ht="51.45" x14ac:dyDescent="0.4">
      <c r="A66" s="11"/>
      <c r="B66" s="56" t="s">
        <v>28</v>
      </c>
      <c r="C66" s="58" t="s">
        <v>29</v>
      </c>
      <c r="D66" s="10" t="s">
        <v>30</v>
      </c>
      <c r="E66" s="10" t="s">
        <v>93</v>
      </c>
      <c r="F66" s="10" t="s">
        <v>94</v>
      </c>
      <c r="G66" s="53" t="s">
        <v>24</v>
      </c>
      <c r="H66" s="11"/>
      <c r="I66" s="10"/>
      <c r="J66" s="26" t="s">
        <v>63</v>
      </c>
      <c r="K66" s="24" t="s">
        <v>116</v>
      </c>
      <c r="L66" s="30">
        <v>-138288.44998800001</v>
      </c>
      <c r="M66" s="30"/>
      <c r="N66" s="12"/>
      <c r="O66" s="12">
        <f t="shared" si="12"/>
        <v>-138288.44998800001</v>
      </c>
      <c r="P66" s="12">
        <v>-297490.743843542</v>
      </c>
      <c r="Q66" s="12"/>
      <c r="R66" s="12"/>
      <c r="S66" s="12">
        <f t="shared" si="13"/>
        <v>-435779.19383154204</v>
      </c>
      <c r="T66" s="11"/>
      <c r="U66" s="12">
        <f>+O66*-1</f>
        <v>138288.44998800001</v>
      </c>
      <c r="V66" s="12">
        <v>297491</v>
      </c>
      <c r="W66" s="12">
        <f t="shared" si="10"/>
        <v>0.25615645793732256</v>
      </c>
    </row>
    <row r="67" spans="1:23" s="23" customFormat="1" ht="12.45" x14ac:dyDescent="0.4">
      <c r="A67" s="9" t="s">
        <v>31</v>
      </c>
      <c r="B67" s="46"/>
      <c r="C67" s="46"/>
      <c r="D67" s="37"/>
      <c r="E67" s="37"/>
      <c r="F67" s="37"/>
      <c r="G67" s="36"/>
      <c r="H67" s="36"/>
      <c r="I67" s="37"/>
      <c r="J67" s="36"/>
      <c r="K67" s="36"/>
      <c r="L67" s="38">
        <f>+SUBTOTAL(9,L65:L66)</f>
        <v>-60503164.549864002</v>
      </c>
      <c r="M67" s="38">
        <f t="shared" ref="M67:W67" si="29">+SUBTOTAL(9,M65:M66)</f>
        <v>0</v>
      </c>
      <c r="N67" s="38">
        <f t="shared" si="29"/>
        <v>57235733</v>
      </c>
      <c r="O67" s="38">
        <f t="shared" si="29"/>
        <v>-3267431.5498640016</v>
      </c>
      <c r="P67" s="38">
        <f t="shared" si="29"/>
        <v>-23995742.867977642</v>
      </c>
      <c r="Q67" s="38">
        <f t="shared" si="29"/>
        <v>-150000</v>
      </c>
      <c r="R67" s="38">
        <f t="shared" si="29"/>
        <v>91585</v>
      </c>
      <c r="S67" s="38">
        <f t="shared" si="29"/>
        <v>-27321589.417841643</v>
      </c>
      <c r="T67" s="38">
        <f t="shared" si="29"/>
        <v>0</v>
      </c>
      <c r="U67" s="38">
        <f t="shared" si="29"/>
        <v>3325846.4499880001</v>
      </c>
      <c r="V67" s="38">
        <f t="shared" si="29"/>
        <v>23995743.224010099</v>
      </c>
      <c r="W67" s="38">
        <f t="shared" si="29"/>
        <v>0.25615645793732256</v>
      </c>
    </row>
    <row r="68" spans="1:23" s="19" customFormat="1" x14ac:dyDescent="0.4">
      <c r="B68" s="50"/>
      <c r="D68" s="51"/>
      <c r="E68" s="51"/>
      <c r="F68" s="51"/>
      <c r="I68" s="51"/>
      <c r="N68" s="76"/>
    </row>
    <row r="70" spans="1:23" x14ac:dyDescent="0.4">
      <c r="O70" s="80"/>
      <c r="P70" s="80"/>
      <c r="Q70" s="80"/>
      <c r="R70" s="80"/>
      <c r="S70" s="80"/>
      <c r="T70" s="80"/>
      <c r="U70" s="80"/>
      <c r="V70" s="80"/>
      <c r="W70" s="80"/>
    </row>
  </sheetData>
  <mergeCells count="4">
    <mergeCell ref="I10:K10"/>
    <mergeCell ref="A5:G6"/>
    <mergeCell ref="A40:D40"/>
    <mergeCell ref="K2:W2"/>
  </mergeCells>
  <phoneticPr fontId="18" type="noConversion"/>
  <pageMargins left="0.31496062992125984" right="0.31496062992125984" top="0.27559055118110237" bottom="0.51181102362204722" header="0.31496062992125984" footer="0.31496062992125984"/>
  <pageSetup paperSize="9" scale="79" fitToHeight="0" orientation="landscape" r:id="rId1"/>
  <headerFooter>
    <oddFooter>Lk &amp;P &amp;N-st</oddFoot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44643F-0602-46E3-AB6B-3B20B570FD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E36848-9FB3-492B-967C-0C535CB697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43732D-B288-43BA-9D18-D97B062690AB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9b483750-598d-46a0-877d-052f8f804d23"/>
    <ds:schemaRef ds:uri="http://purl.org/dc/dcmitype/"/>
    <ds:schemaRef ds:uri="e6f0d7a7-7317-4211-b722-0acf268d17fd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7 MKM_toetused</vt:lpstr>
      <vt:lpstr>'Lisa 7 MKM_toetused'!Prindiala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Fazijev</dc:creator>
  <cp:keywords/>
  <dc:description/>
  <cp:lastModifiedBy>Helena Siemann - MKM</cp:lastModifiedBy>
  <cp:revision/>
  <dcterms:created xsi:type="dcterms:W3CDTF">2022-12-30T15:09:08Z</dcterms:created>
  <dcterms:modified xsi:type="dcterms:W3CDTF">2025-12-10T06:38:15Z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687200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2024-06-20T17:03:28Z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8df56165-8e34-48c5-93f4-a672f43d9cfb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